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55" yWindow="360" windowWidth="20370" windowHeight="5580" tabRatio="975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  <sheet name="projekty UE" sheetId="10" r:id="rId11"/>
    <sheet name="Arkusz1" sheetId="15" r:id="rId12"/>
  </sheets>
  <externalReferences>
    <externalReference r:id="rId13"/>
  </externalReferences>
  <definedNames>
    <definedName name="_xlnm._FilterDatabase" localSheetId="1" hidden="1">'Tab. 6A -Drogi'!$A$11:$DZ$613</definedName>
    <definedName name="_xlnm._FilterDatabase" localSheetId="2" hidden="1">'Tab. 6B Polit społ i rozwój prz'!#REF!</definedName>
    <definedName name="_xlnm._FilterDatabase" localSheetId="7" hidden="1">'Tab. 6G - Roln i ochrona środ.'!$A$4:$N$176</definedName>
    <definedName name="_xlnm.Print_Area" localSheetId="1">'Tab. 6A -Drogi'!$A$1:$N$744</definedName>
    <definedName name="_xlnm.Print_Area" localSheetId="2">'Tab. 6B Polit społ i rozwój prz'!$A$1:$N$268</definedName>
    <definedName name="_xlnm.Print_Area" localSheetId="3">'Tab. 6C - Ochrona zdrowia'!$A$1:$N$139</definedName>
    <definedName name="_xlnm.Print_Area" localSheetId="4">'Tab. 6D - Oświata'!$A$1:$N$70</definedName>
    <definedName name="_xlnm.Print_Area" localSheetId="5">'Tab. 6E - Administracja'!$A$1:$N$285</definedName>
    <definedName name="_xlnm.Print_Area" localSheetId="6">'Tab. 6F - Kultura'!$A$1:$N$114</definedName>
    <definedName name="_xlnm.Print_Area" localSheetId="7">'Tab. 6G - Roln i ochrona środ.'!$A$1:$N$213</definedName>
    <definedName name="_xlnm.Print_Area" localSheetId="8">'Tab. 6H - Kultura fiz. i turyst'!$A$1:$N$279</definedName>
    <definedName name="_xlnm.Print_Area" localSheetId="9">'Tab.6I - Planow. przestrz.'!$A$1:$N$101</definedName>
    <definedName name="_xlnm.Print_Area" localSheetId="0">'Tabela nr 6'!$A$1:$K$93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3">'Tab. 6C - Ochrona zdrowia'!$6:$9</definedName>
    <definedName name="_xlnm.Print_Titles" localSheetId="4">'Tab. 6D - Oświata'!$6:$9</definedName>
    <definedName name="_xlnm.Print_Titles" localSheetId="5">'Tab. 6E - Administracja'!$6:$8</definedName>
    <definedName name="_xlnm.Print_Titles" localSheetId="6">'Tab. 6F - Kultura'!$4:$6</definedName>
    <definedName name="_xlnm.Print_Titles" localSheetId="7">'Tab. 6G - Roln i ochrona środ.'!$5:$7</definedName>
    <definedName name="_xlnm.Print_Titles" localSheetId="8">'Tab. 6H - Kultura fiz. i turyst'!$4:$6</definedName>
    <definedName name="_xlnm.Print_Titles" localSheetId="9">'Tab.6I - Planow. przestrz.'!$5:$7</definedName>
  </definedNames>
  <calcPr calcId="145621"/>
</workbook>
</file>

<file path=xl/calcChain.xml><?xml version="1.0" encoding="utf-8"?>
<calcChain xmlns="http://schemas.openxmlformats.org/spreadsheetml/2006/main">
  <c r="M257" i="9" l="1"/>
  <c r="M254" i="9"/>
  <c r="M258" i="9"/>
  <c r="M260" i="9"/>
  <c r="M267" i="9"/>
  <c r="D256" i="9"/>
  <c r="M154" i="9" l="1"/>
  <c r="M156" i="9"/>
  <c r="F268" i="3" l="1"/>
  <c r="F258" i="3"/>
  <c r="J14" i="6" l="1"/>
  <c r="F130" i="6" l="1"/>
  <c r="F120" i="6"/>
  <c r="F128" i="6"/>
  <c r="F118" i="6"/>
  <c r="D170" i="2" l="1"/>
  <c r="D172" i="2"/>
  <c r="D175" i="2"/>
  <c r="F729" i="2" l="1"/>
  <c r="F732" i="2"/>
  <c r="F716" i="2" l="1"/>
  <c r="G124" i="9" l="1"/>
  <c r="F124" i="9"/>
  <c r="G121" i="9"/>
  <c r="F121" i="9"/>
  <c r="G119" i="9"/>
  <c r="F119" i="9"/>
  <c r="G115" i="9"/>
  <c r="F115" i="9"/>
  <c r="G112" i="9"/>
  <c r="F112" i="9"/>
  <c r="G110" i="9"/>
  <c r="F110" i="9"/>
  <c r="G106" i="9"/>
  <c r="G103" i="9"/>
  <c r="G101" i="9"/>
  <c r="F106" i="9"/>
  <c r="F103" i="9"/>
  <c r="F101" i="9"/>
  <c r="G377" i="2" l="1"/>
  <c r="F377" i="2"/>
  <c r="H345" i="2"/>
  <c r="H346" i="2"/>
  <c r="H348" i="2"/>
  <c r="G349" i="2"/>
  <c r="F349" i="2"/>
  <c r="H339" i="2"/>
  <c r="H343" i="2"/>
  <c r="H340" i="2"/>
  <c r="F344" i="2"/>
  <c r="F341" i="2"/>
  <c r="G341" i="2"/>
  <c r="G337" i="2"/>
  <c r="F337" i="2"/>
  <c r="G335" i="2"/>
  <c r="F335" i="2"/>
  <c r="G332" i="2"/>
  <c r="G330" i="2"/>
  <c r="F332" i="2"/>
  <c r="F330" i="2"/>
  <c r="F329" i="2"/>
  <c r="F325" i="2"/>
  <c r="G259" i="2"/>
  <c r="G263" i="2"/>
  <c r="F265" i="2"/>
  <c r="F258" i="2"/>
  <c r="F253" i="2"/>
  <c r="F277" i="2"/>
  <c r="F272" i="2"/>
  <c r="F269" i="2"/>
  <c r="G301" i="2"/>
  <c r="F301" i="2"/>
  <c r="G296" i="2"/>
  <c r="F296" i="2"/>
  <c r="G293" i="2"/>
  <c r="F293" i="2"/>
  <c r="G313" i="2"/>
  <c r="F313" i="2"/>
  <c r="G308" i="2"/>
  <c r="F308" i="2"/>
  <c r="G305" i="2"/>
  <c r="F305" i="2"/>
  <c r="D119" i="5" l="1"/>
  <c r="L125" i="1" l="1"/>
  <c r="M134" i="4"/>
  <c r="D53" i="6"/>
  <c r="D52" i="6"/>
  <c r="D48" i="6"/>
  <c r="D47" i="6"/>
  <c r="K14" i="10"/>
  <c r="K18" i="10"/>
  <c r="K20" i="10"/>
  <c r="K24" i="10"/>
  <c r="K39" i="10"/>
  <c r="K41" i="10"/>
  <c r="M712" i="2" l="1"/>
  <c r="J712" i="2"/>
  <c r="J711" i="2"/>
  <c r="I712" i="2"/>
  <c r="G712" i="2"/>
  <c r="H712" i="2"/>
  <c r="F712" i="2"/>
  <c r="M671" i="2"/>
  <c r="J671" i="2"/>
  <c r="J670" i="2" s="1"/>
  <c r="J669" i="2" s="1"/>
  <c r="I671" i="2"/>
  <c r="I670" i="2" s="1"/>
  <c r="I669" i="2" s="1"/>
  <c r="H671" i="2"/>
  <c r="G671" i="2"/>
  <c r="F671" i="2"/>
  <c r="J710" i="2" l="1"/>
  <c r="G262" i="3"/>
  <c r="H262" i="3"/>
  <c r="I262" i="3"/>
  <c r="J262" i="3"/>
  <c r="K262" i="3"/>
  <c r="F262" i="3"/>
  <c r="D265" i="3"/>
  <c r="F253" i="3"/>
  <c r="M719" i="2" l="1"/>
  <c r="M721" i="2"/>
  <c r="F156" i="6" l="1"/>
  <c r="F150" i="6"/>
  <c r="L137" i="6"/>
  <c r="F137" i="6"/>
  <c r="L128" i="6"/>
  <c r="L120" i="6"/>
  <c r="L116" i="6" s="1"/>
  <c r="F134" i="6"/>
  <c r="F131" i="6"/>
  <c r="F124" i="6"/>
  <c r="F122" i="6" s="1"/>
  <c r="L145" i="6"/>
  <c r="K145" i="6"/>
  <c r="J145" i="6"/>
  <c r="I145" i="6"/>
  <c r="H145" i="6"/>
  <c r="G145" i="6"/>
  <c r="F145" i="6"/>
  <c r="E145" i="6"/>
  <c r="L141" i="6"/>
  <c r="K141" i="6"/>
  <c r="J141" i="6"/>
  <c r="I141" i="6"/>
  <c r="H141" i="6"/>
  <c r="G141" i="6"/>
  <c r="F141" i="6"/>
  <c r="E141" i="6"/>
  <c r="L126" i="6"/>
  <c r="K126" i="6"/>
  <c r="J126" i="6"/>
  <c r="I126" i="6"/>
  <c r="H126" i="6"/>
  <c r="G126" i="6"/>
  <c r="F126" i="6"/>
  <c r="E126" i="6"/>
  <c r="L122" i="6"/>
  <c r="K122" i="6"/>
  <c r="J122" i="6"/>
  <c r="I122" i="6"/>
  <c r="H122" i="6"/>
  <c r="G122" i="6"/>
  <c r="E122" i="6"/>
  <c r="K116" i="6"/>
  <c r="J116" i="6"/>
  <c r="I116" i="6"/>
  <c r="H116" i="6"/>
  <c r="G116" i="6"/>
  <c r="F116" i="6"/>
  <c r="E116" i="6"/>
  <c r="D153" i="6"/>
  <c r="D152" i="6"/>
  <c r="D151" i="6"/>
  <c r="D150" i="6"/>
  <c r="D149" i="6"/>
  <c r="D148" i="6"/>
  <c r="D147" i="6"/>
  <c r="D143" i="6"/>
  <c r="D142" i="6"/>
  <c r="E128" i="6"/>
  <c r="E129" i="6"/>
  <c r="E130" i="6"/>
  <c r="E120" i="6"/>
  <c r="D134" i="6" l="1"/>
  <c r="D133" i="6"/>
  <c r="D132" i="6"/>
  <c r="D131" i="6"/>
  <c r="D130" i="6"/>
  <c r="D129" i="6"/>
  <c r="D128" i="6"/>
  <c r="D124" i="6"/>
  <c r="D123" i="6"/>
  <c r="M56" i="8" l="1"/>
  <c r="D431" i="2"/>
  <c r="D435" i="2"/>
  <c r="F51" i="2"/>
  <c r="D517" i="2"/>
  <c r="D137" i="6" l="1"/>
  <c r="L25" i="6"/>
  <c r="M62" i="6"/>
  <c r="M63" i="6"/>
  <c r="M16" i="13"/>
  <c r="F20" i="13"/>
  <c r="M259" i="9"/>
  <c r="D263" i="9"/>
  <c r="D262" i="9" s="1"/>
  <c r="D261" i="9" s="1"/>
  <c r="D197" i="9"/>
  <c r="D196" i="9" s="1"/>
  <c r="D195" i="9"/>
  <c r="D194" i="9"/>
  <c r="D191" i="9"/>
  <c r="D190" i="9"/>
  <c r="D184" i="9"/>
  <c r="D183" i="9" s="1"/>
  <c r="D175" i="9"/>
  <c r="D174" i="9"/>
  <c r="D159" i="9"/>
  <c r="D162" i="9"/>
  <c r="D141" i="9"/>
  <c r="D140" i="9"/>
  <c r="D149" i="9"/>
  <c r="D150" i="9"/>
  <c r="D149" i="8"/>
  <c r="D99" i="7"/>
  <c r="D106" i="7"/>
  <c r="D33" i="7"/>
  <c r="D26" i="7"/>
  <c r="D105" i="7"/>
  <c r="D283" i="6"/>
  <c r="D280" i="6"/>
  <c r="O213" i="3"/>
  <c r="O24" i="3"/>
  <c r="O39" i="3"/>
  <c r="O67" i="3"/>
  <c r="O79" i="3"/>
  <c r="O91" i="3"/>
  <c r="O103" i="3"/>
  <c r="O115" i="3"/>
  <c r="O127" i="3"/>
  <c r="O139" i="3"/>
  <c r="O157" i="3"/>
  <c r="O175" i="3"/>
  <c r="O187" i="3"/>
  <c r="O199" i="3"/>
  <c r="O215" i="3"/>
  <c r="D40" i="5"/>
  <c r="D39" i="5" s="1"/>
  <c r="D231" i="3"/>
  <c r="D226" i="3"/>
  <c r="D219" i="3"/>
  <c r="D214" i="3"/>
  <c r="D209" i="3"/>
  <c r="D207" i="3"/>
  <c r="D204" i="3"/>
  <c r="D202" i="3"/>
  <c r="D201" i="3"/>
  <c r="D197" i="3"/>
  <c r="D195" i="3"/>
  <c r="D192" i="3"/>
  <c r="D190" i="3"/>
  <c r="D189" i="3"/>
  <c r="D185" i="3"/>
  <c r="D183" i="3"/>
  <c r="D180" i="3"/>
  <c r="D178" i="3"/>
  <c r="D177" i="3"/>
  <c r="D147" i="3"/>
  <c r="D142" i="3"/>
  <c r="D137" i="3"/>
  <c r="D135" i="3"/>
  <c r="D132" i="3"/>
  <c r="D130" i="3"/>
  <c r="D129" i="3"/>
  <c r="D117" i="3"/>
  <c r="D113" i="3"/>
  <c r="D108" i="3"/>
  <c r="D105" i="3"/>
  <c r="D101" i="3"/>
  <c r="D99" i="3"/>
  <c r="D96" i="3"/>
  <c r="D94" i="3"/>
  <c r="D93" i="3"/>
  <c r="D89" i="3"/>
  <c r="D87" i="3"/>
  <c r="D84" i="3"/>
  <c r="D82" i="3"/>
  <c r="D81" i="3"/>
  <c r="D49" i="3"/>
  <c r="D46" i="3"/>
  <c r="D43" i="3"/>
  <c r="D37" i="3"/>
  <c r="D29" i="3"/>
  <c r="D26" i="3"/>
  <c r="D72" i="2"/>
  <c r="D65" i="2"/>
  <c r="D64" i="2"/>
  <c r="D62" i="2"/>
  <c r="D59" i="2"/>
  <c r="D58" i="2"/>
  <c r="D56" i="2"/>
  <c r="D55" i="2"/>
  <c r="E37" i="2"/>
  <c r="D593" i="2"/>
  <c r="D590" i="2"/>
  <c r="D588" i="2"/>
  <c r="D575" i="2"/>
  <c r="D572" i="2"/>
  <c r="D570" i="2"/>
  <c r="D566" i="2"/>
  <c r="D565" i="2"/>
  <c r="D564" i="2"/>
  <c r="D562" i="2"/>
  <c r="D561" i="2"/>
  <c r="D560" i="2"/>
  <c r="D557" i="2"/>
  <c r="D556" i="2"/>
  <c r="D554" i="2"/>
  <c r="D553" i="2"/>
  <c r="D552" i="2"/>
  <c r="D221" i="2"/>
  <c r="D218" i="2"/>
  <c r="D216" i="2"/>
  <c r="D212" i="2"/>
  <c r="D209" i="2"/>
  <c r="D205" i="2"/>
  <c r="D202" i="2"/>
  <c r="D200" i="2"/>
  <c r="D143" i="2"/>
  <c r="D141" i="2"/>
  <c r="D138" i="2"/>
  <c r="D136" i="2"/>
  <c r="D135" i="2"/>
  <c r="D131" i="2"/>
  <c r="D128" i="2"/>
  <c r="D126" i="2"/>
  <c r="D529" i="2"/>
  <c r="D528" i="2"/>
  <c r="D660" i="2"/>
  <c r="D657" i="2"/>
  <c r="D656" i="2"/>
  <c r="D645" i="2"/>
  <c r="D642" i="2"/>
  <c r="D641" i="2"/>
  <c r="D444" i="2"/>
  <c r="D441" i="2"/>
  <c r="D439" i="2"/>
  <c r="D407" i="2"/>
  <c r="D397" i="2"/>
  <c r="D395" i="2"/>
  <c r="D392" i="2"/>
  <c r="D390" i="2"/>
  <c r="D389" i="2"/>
  <c r="D383" i="2"/>
  <c r="D378" i="2"/>
  <c r="D371" i="2"/>
  <c r="D366" i="2"/>
  <c r="D359" i="2"/>
  <c r="D354" i="2"/>
  <c r="D236" i="2"/>
  <c r="D234" i="2"/>
  <c r="D233" i="2"/>
  <c r="D187" i="2"/>
  <c r="D109" i="2"/>
  <c r="D103" i="2"/>
  <c r="D101" i="2"/>
  <c r="J42" i="1"/>
  <c r="E202" i="6"/>
  <c r="E201" i="6" s="1"/>
  <c r="E199" i="6"/>
  <c r="E191" i="6"/>
  <c r="E195" i="6"/>
  <c r="E194" i="6" s="1"/>
  <c r="E164" i="6"/>
  <c r="E163" i="6" s="1"/>
  <c r="E171" i="6"/>
  <c r="E170" i="6" s="1"/>
  <c r="E172" i="6"/>
  <c r="E23" i="6"/>
  <c r="E22" i="6"/>
  <c r="E21" i="6" s="1"/>
  <c r="E17" i="6"/>
  <c r="E16" i="6"/>
  <c r="E15" i="6"/>
  <c r="E14" i="6"/>
  <c r="M15" i="1"/>
  <c r="H20" i="10"/>
  <c r="I20" i="10"/>
  <c r="J20" i="10"/>
  <c r="H19" i="10"/>
  <c r="I19" i="10"/>
  <c r="J19" i="10"/>
  <c r="E13" i="6" l="1"/>
  <c r="E25" i="6"/>
  <c r="E24" i="6" s="1"/>
  <c r="E20" i="6" s="1"/>
  <c r="E190" i="6"/>
  <c r="E198" i="6"/>
  <c r="E162" i="6"/>
  <c r="E19" i="6"/>
  <c r="E18" i="6" s="1"/>
  <c r="E12" i="6" l="1"/>
  <c r="E275" i="6"/>
  <c r="E23" i="13"/>
  <c r="E21" i="13" s="1"/>
  <c r="E18" i="13" s="1"/>
  <c r="E20" i="13"/>
  <c r="E19" i="13" s="1"/>
  <c r="E17" i="13"/>
  <c r="E15" i="13" s="1"/>
  <c r="E14" i="13"/>
  <c r="E13" i="13"/>
  <c r="E12" i="13" s="1"/>
  <c r="E21" i="9"/>
  <c r="E20" i="9" s="1"/>
  <c r="E19" i="9"/>
  <c r="E18" i="9" s="1"/>
  <c r="E15" i="9"/>
  <c r="E14" i="9" s="1"/>
  <c r="E13" i="9"/>
  <c r="E20" i="7"/>
  <c r="E19" i="7" s="1"/>
  <c r="E18" i="7"/>
  <c r="E17" i="7" s="1"/>
  <c r="E16" i="7" s="1"/>
  <c r="E15" i="7"/>
  <c r="E14" i="7" s="1"/>
  <c r="E13" i="7"/>
  <c r="E12" i="7"/>
  <c r="E11" i="7" s="1"/>
  <c r="E263" i="6"/>
  <c r="E262" i="6" s="1"/>
  <c r="E261" i="6" s="1"/>
  <c r="E20" i="5"/>
  <c r="E19" i="5" s="1"/>
  <c r="E18" i="5" s="1"/>
  <c r="E17" i="5"/>
  <c r="E16" i="5"/>
  <c r="E15" i="5"/>
  <c r="E14" i="5"/>
  <c r="E13" i="5" s="1"/>
  <c r="E25" i="4"/>
  <c r="E22" i="4"/>
  <c r="E21" i="4" s="1"/>
  <c r="E20" i="4"/>
  <c r="E19" i="4"/>
  <c r="E18" i="4"/>
  <c r="E17" i="4"/>
  <c r="E16" i="4"/>
  <c r="E15" i="4"/>
  <c r="E12" i="4"/>
  <c r="E11" i="4"/>
  <c r="E22" i="3"/>
  <c r="E21" i="3"/>
  <c r="E20" i="3"/>
  <c r="E19" i="3"/>
  <c r="E18" i="3" s="1"/>
  <c r="E16" i="3"/>
  <c r="E15" i="3"/>
  <c r="E14" i="3"/>
  <c r="E13" i="3"/>
  <c r="E12" i="3"/>
  <c r="E609" i="2"/>
  <c r="E608" i="2"/>
  <c r="E607" i="2"/>
  <c r="E606" i="2"/>
  <c r="E603" i="2"/>
  <c r="E602" i="2"/>
  <c r="E601" i="2"/>
  <c r="E600" i="2"/>
  <c r="E599" i="2" s="1"/>
  <c r="E598" i="2" s="1"/>
  <c r="E48" i="2"/>
  <c r="E47" i="2"/>
  <c r="E28" i="2" s="1"/>
  <c r="E40" i="2"/>
  <c r="E38" i="2"/>
  <c r="E15" i="2" s="1"/>
  <c r="C35" i="10"/>
  <c r="E99" i="13"/>
  <c r="E98" i="13" s="1"/>
  <c r="E95" i="13"/>
  <c r="E94" i="13" s="1"/>
  <c r="E80" i="13"/>
  <c r="E78" i="13"/>
  <c r="E75" i="13"/>
  <c r="E73" i="13"/>
  <c r="E69" i="13"/>
  <c r="E67" i="13"/>
  <c r="E61" i="13"/>
  <c r="E55" i="13"/>
  <c r="E37" i="13"/>
  <c r="E35" i="13"/>
  <c r="E28" i="13"/>
  <c r="E26" i="13"/>
  <c r="D100" i="13"/>
  <c r="D60" i="13"/>
  <c r="D96" i="13"/>
  <c r="D81" i="13"/>
  <c r="D80" i="13" s="1"/>
  <c r="D79" i="13"/>
  <c r="D78" i="13" s="1"/>
  <c r="D76" i="13"/>
  <c r="D75" i="13" s="1"/>
  <c r="D74" i="13"/>
  <c r="D73" i="13" s="1"/>
  <c r="D57" i="13"/>
  <c r="D29" i="13"/>
  <c r="D27" i="13"/>
  <c r="E270" i="9"/>
  <c r="E269" i="9" s="1"/>
  <c r="E266" i="9"/>
  <c r="E265" i="9" s="1"/>
  <c r="E250" i="9"/>
  <c r="E249" i="9" s="1"/>
  <c r="E245" i="9"/>
  <c r="E241" i="9"/>
  <c r="E240" i="9" s="1"/>
  <c r="E237" i="9"/>
  <c r="E236" i="9" s="1"/>
  <c r="E234" i="9"/>
  <c r="E232" i="9"/>
  <c r="E231" i="9"/>
  <c r="E228" i="9"/>
  <c r="E227" i="9"/>
  <c r="E223" i="9"/>
  <c r="E219" i="9"/>
  <c r="E218" i="9" s="1"/>
  <c r="E215" i="9"/>
  <c r="E214" i="9" s="1"/>
  <c r="E212" i="9"/>
  <c r="E210" i="9"/>
  <c r="E209" i="9"/>
  <c r="E206" i="9"/>
  <c r="E205" i="9"/>
  <c r="E203" i="9"/>
  <c r="E201" i="9"/>
  <c r="E200" i="9" s="1"/>
  <c r="E197" i="9"/>
  <c r="E196" i="9" s="1"/>
  <c r="E192" i="9"/>
  <c r="E188" i="9"/>
  <c r="E184" i="9"/>
  <c r="E183" i="9" s="1"/>
  <c r="E181" i="9"/>
  <c r="E179" i="9"/>
  <c r="E175" i="9"/>
  <c r="E174" i="9" s="1"/>
  <c r="E170" i="9"/>
  <c r="E166" i="9"/>
  <c r="E160" i="9"/>
  <c r="E159" i="9" s="1"/>
  <c r="E162" i="9"/>
  <c r="E157" i="9"/>
  <c r="E154" i="9"/>
  <c r="E150" i="9"/>
  <c r="E149" i="9" s="1"/>
  <c r="E147" i="9"/>
  <c r="E145" i="9"/>
  <c r="E144" i="9" s="1"/>
  <c r="E141" i="9"/>
  <c r="E140" i="9" s="1"/>
  <c r="E138" i="9"/>
  <c r="E136" i="9"/>
  <c r="E132" i="9"/>
  <c r="E131" i="9" s="1"/>
  <c r="E129" i="9"/>
  <c r="E127" i="9"/>
  <c r="E126" i="9" s="1"/>
  <c r="E123" i="9"/>
  <c r="E122" i="9" s="1"/>
  <c r="E120" i="9"/>
  <c r="E118" i="9"/>
  <c r="E114" i="9"/>
  <c r="E113" i="9" s="1"/>
  <c r="E111" i="9"/>
  <c r="E109" i="9"/>
  <c r="E108" i="9" s="1"/>
  <c r="E105" i="9"/>
  <c r="E104" i="9" s="1"/>
  <c r="E102" i="9"/>
  <c r="E99" i="9" s="1"/>
  <c r="E100" i="9"/>
  <c r="D271" i="9"/>
  <c r="D267" i="9"/>
  <c r="D251" i="9"/>
  <c r="D238" i="9"/>
  <c r="D235" i="9"/>
  <c r="D233" i="9"/>
  <c r="D229" i="9"/>
  <c r="D216" i="9"/>
  <c r="D213" i="9"/>
  <c r="D211" i="9"/>
  <c r="D207" i="9"/>
  <c r="D204" i="9"/>
  <c r="D202" i="9"/>
  <c r="D198" i="9"/>
  <c r="D193" i="9"/>
  <c r="D189" i="9"/>
  <c r="D185" i="9"/>
  <c r="D182" i="9"/>
  <c r="D180" i="9"/>
  <c r="D176" i="9"/>
  <c r="D161" i="9"/>
  <c r="D156" i="9"/>
  <c r="D151" i="9"/>
  <c r="D148" i="9"/>
  <c r="D146" i="9"/>
  <c r="D133" i="9"/>
  <c r="E147" i="8"/>
  <c r="E144" i="8"/>
  <c r="E143" i="8" s="1"/>
  <c r="C14" i="10" s="1"/>
  <c r="E141" i="8"/>
  <c r="E138" i="8"/>
  <c r="E137" i="8" s="1"/>
  <c r="C13" i="10" s="1"/>
  <c r="E87" i="8"/>
  <c r="E85" i="8"/>
  <c r="E84" i="8" s="1"/>
  <c r="E82" i="8"/>
  <c r="E80" i="8"/>
  <c r="E79" i="8" s="1"/>
  <c r="E196" i="8"/>
  <c r="E195" i="8" s="1"/>
  <c r="D201" i="8"/>
  <c r="D197" i="8"/>
  <c r="D146" i="8"/>
  <c r="E104" i="7"/>
  <c r="E98" i="7"/>
  <c r="E100" i="7"/>
  <c r="E95" i="7"/>
  <c r="E92" i="7"/>
  <c r="E91" i="7" s="1"/>
  <c r="E40" i="7"/>
  <c r="E38" i="7"/>
  <c r="E37" i="7" s="1"/>
  <c r="E35" i="7"/>
  <c r="E32" i="7"/>
  <c r="E31" i="7" s="1"/>
  <c r="E23" i="7"/>
  <c r="E22" i="7" s="1"/>
  <c r="D93" i="7"/>
  <c r="D96" i="7"/>
  <c r="D39" i="7"/>
  <c r="D36" i="7"/>
  <c r="D101" i="7"/>
  <c r="D41" i="7"/>
  <c r="D29" i="7"/>
  <c r="E278" i="6"/>
  <c r="E277" i="6" s="1"/>
  <c r="E274" i="6"/>
  <c r="E273" i="6"/>
  <c r="E270" i="6"/>
  <c r="E269" i="6"/>
  <c r="E254" i="6"/>
  <c r="E252" i="6"/>
  <c r="E251" i="6" s="1"/>
  <c r="E249" i="6"/>
  <c r="E247" i="6"/>
  <c r="E246" i="6" s="1"/>
  <c r="E243" i="6"/>
  <c r="E241" i="6"/>
  <c r="E238" i="6"/>
  <c r="E234" i="6"/>
  <c r="E233" i="6" s="1"/>
  <c r="E168" i="6"/>
  <c r="E167" i="6" s="1"/>
  <c r="E159" i="6"/>
  <c r="E158" i="6" s="1"/>
  <c r="E155" i="6"/>
  <c r="E154" i="6" s="1"/>
  <c r="E144" i="6"/>
  <c r="E140" i="6"/>
  <c r="E136" i="6"/>
  <c r="E135" i="6" s="1"/>
  <c r="E125" i="6"/>
  <c r="E115" i="6"/>
  <c r="E91" i="6"/>
  <c r="E89" i="6"/>
  <c r="E86" i="6"/>
  <c r="E84" i="6"/>
  <c r="E83" i="6"/>
  <c r="E80" i="6"/>
  <c r="E78" i="6"/>
  <c r="E77" i="6" s="1"/>
  <c r="E75" i="6"/>
  <c r="E73" i="6"/>
  <c r="E72" i="6" s="1"/>
  <c r="C19" i="10" s="1"/>
  <c r="E69" i="6"/>
  <c r="E67" i="6"/>
  <c r="E64" i="6"/>
  <c r="E61" i="6"/>
  <c r="E57" i="6"/>
  <c r="E55" i="6"/>
  <c r="E54" i="6" s="1"/>
  <c r="E49" i="6"/>
  <c r="E40" i="6"/>
  <c r="E39" i="6" s="1"/>
  <c r="E36" i="6"/>
  <c r="E35" i="6"/>
  <c r="E30" i="6"/>
  <c r="E28" i="6"/>
  <c r="E27" i="6" s="1"/>
  <c r="D87" i="6"/>
  <c r="D70" i="6"/>
  <c r="D69" i="6" s="1"/>
  <c r="D37" i="6"/>
  <c r="D279" i="6"/>
  <c r="D271" i="6"/>
  <c r="D255" i="6"/>
  <c r="D253" i="6"/>
  <c r="D250" i="6"/>
  <c r="D248" i="6"/>
  <c r="D121" i="6"/>
  <c r="D119" i="6"/>
  <c r="D117" i="6"/>
  <c r="D92" i="6"/>
  <c r="D90" i="6"/>
  <c r="D85" i="6"/>
  <c r="D68" i="6"/>
  <c r="D67" i="6" s="1"/>
  <c r="D65" i="6"/>
  <c r="D64" i="6" s="1"/>
  <c r="D63" i="6"/>
  <c r="D62" i="6"/>
  <c r="D58" i="6"/>
  <c r="D56" i="6"/>
  <c r="D44" i="6"/>
  <c r="D43" i="6"/>
  <c r="D42" i="6"/>
  <c r="E69" i="5"/>
  <c r="E68" i="5" s="1"/>
  <c r="E66" i="5"/>
  <c r="E65" i="5" s="1"/>
  <c r="E55" i="5"/>
  <c r="E54" i="5" s="1"/>
  <c r="E52" i="5"/>
  <c r="E51" i="5" s="1"/>
  <c r="E39" i="5"/>
  <c r="E38" i="5" s="1"/>
  <c r="E41" i="5"/>
  <c r="E36" i="5"/>
  <c r="E34" i="5"/>
  <c r="D56" i="5"/>
  <c r="D53" i="5"/>
  <c r="D135" i="4"/>
  <c r="D130" i="4"/>
  <c r="E133" i="4"/>
  <c r="E132" i="4" s="1"/>
  <c r="E128" i="4"/>
  <c r="E127" i="4" s="1"/>
  <c r="E90" i="4"/>
  <c r="E89" i="4" s="1"/>
  <c r="E55" i="4"/>
  <c r="E54" i="4" s="1"/>
  <c r="E63" i="4"/>
  <c r="E62" i="4"/>
  <c r="D134" i="4"/>
  <c r="D129" i="4"/>
  <c r="D92" i="4"/>
  <c r="D91" i="4"/>
  <c r="D65" i="4"/>
  <c r="D64" i="4"/>
  <c r="D59" i="4"/>
  <c r="D58" i="4"/>
  <c r="D57" i="4"/>
  <c r="D56" i="4"/>
  <c r="E267" i="3"/>
  <c r="E266" i="3" s="1"/>
  <c r="E261" i="3"/>
  <c r="E260" i="3" s="1"/>
  <c r="E257" i="3"/>
  <c r="E256" i="3" s="1"/>
  <c r="E249" i="3"/>
  <c r="E248" i="3" s="1"/>
  <c r="E245" i="3"/>
  <c r="E244" i="3" s="1"/>
  <c r="E240" i="3"/>
  <c r="E236" i="3"/>
  <c r="E235" i="3" s="1"/>
  <c r="E230" i="3"/>
  <c r="E232" i="3"/>
  <c r="E227" i="3"/>
  <c r="E224" i="3"/>
  <c r="E223" i="3" s="1"/>
  <c r="E218" i="3"/>
  <c r="E220" i="3"/>
  <c r="E215" i="3"/>
  <c r="E212" i="3"/>
  <c r="E211" i="3" s="1"/>
  <c r="E170" i="3"/>
  <c r="E172" i="3"/>
  <c r="E167" i="3"/>
  <c r="E164" i="3"/>
  <c r="E163" i="3" s="1"/>
  <c r="E158" i="3"/>
  <c r="E160" i="3"/>
  <c r="E155" i="3"/>
  <c r="E152" i="3"/>
  <c r="E151" i="3" s="1"/>
  <c r="C23" i="10" s="1"/>
  <c r="E62" i="3"/>
  <c r="E64" i="3"/>
  <c r="E57" i="3"/>
  <c r="E52" i="3"/>
  <c r="E51" i="3" s="1"/>
  <c r="E38" i="3"/>
  <c r="E32" i="3"/>
  <c r="E31" i="3" s="1"/>
  <c r="C34" i="10" s="1"/>
  <c r="D165" i="3"/>
  <c r="E114" i="6" l="1"/>
  <c r="E139" i="6"/>
  <c r="E9" i="3"/>
  <c r="E25" i="13"/>
  <c r="E34" i="13"/>
  <c r="E54" i="13"/>
  <c r="E66" i="13"/>
  <c r="E72" i="13"/>
  <c r="E10" i="13" s="1"/>
  <c r="M23" i="10"/>
  <c r="M13" i="10"/>
  <c r="M14" i="10"/>
  <c r="M19" i="10"/>
  <c r="D61" i="6"/>
  <c r="E88" i="6"/>
  <c r="D72" i="13"/>
  <c r="D77" i="13"/>
  <c r="E77" i="13"/>
  <c r="E117" i="9"/>
  <c r="C37" i="10"/>
  <c r="E187" i="9"/>
  <c r="E135" i="9"/>
  <c r="E153" i="9"/>
  <c r="E165" i="9"/>
  <c r="C36" i="10" s="1"/>
  <c r="E178" i="9"/>
  <c r="E97" i="7"/>
  <c r="E10" i="7"/>
  <c r="E10" i="6"/>
  <c r="E60" i="6"/>
  <c r="E11" i="6" s="1"/>
  <c r="E66" i="6"/>
  <c r="C31" i="10" s="1"/>
  <c r="E240" i="6"/>
  <c r="C20" i="10" s="1"/>
  <c r="C30" i="10"/>
  <c r="E33" i="5"/>
  <c r="E14" i="4"/>
  <c r="E13" i="4" s="1"/>
  <c r="E10" i="4"/>
  <c r="E1" i="4" s="1"/>
  <c r="E11" i="3"/>
  <c r="E10" i="3" s="1"/>
  <c r="E61" i="3"/>
  <c r="E157" i="3"/>
  <c r="E169" i="3"/>
  <c r="E217" i="3"/>
  <c r="E229" i="3"/>
  <c r="E17" i="3"/>
  <c r="E605" i="2"/>
  <c r="E604" i="2" s="1"/>
  <c r="E11" i="13"/>
  <c r="E17" i="9"/>
  <c r="E200" i="8"/>
  <c r="E199" i="8" s="1"/>
  <c r="D173" i="3"/>
  <c r="D168" i="3"/>
  <c r="D268" i="3"/>
  <c r="D258" i="3"/>
  <c r="D246" i="3"/>
  <c r="E648" i="2"/>
  <c r="E647" i="2" s="1"/>
  <c r="E739" i="2"/>
  <c r="E738" i="2" s="1"/>
  <c r="E735" i="2"/>
  <c r="E734" i="2" s="1"/>
  <c r="E731" i="2"/>
  <c r="E730" i="2" s="1"/>
  <c r="E727" i="2"/>
  <c r="E726" i="2" s="1"/>
  <c r="E723" i="2"/>
  <c r="E722" i="2" s="1"/>
  <c r="E719" i="2"/>
  <c r="E718" i="2" s="1"/>
  <c r="E711" i="2"/>
  <c r="E710" i="2" s="1"/>
  <c r="E678" i="2"/>
  <c r="E677" i="2" s="1"/>
  <c r="E674" i="2"/>
  <c r="E673" i="2" s="1"/>
  <c r="E670" i="2"/>
  <c r="E669" i="2" s="1"/>
  <c r="E636" i="2"/>
  <c r="E635" i="2" s="1"/>
  <c r="E632" i="2"/>
  <c r="E631" i="2" s="1"/>
  <c r="E628" i="2"/>
  <c r="E627" i="2"/>
  <c r="E624" i="2"/>
  <c r="E623" i="2" s="1"/>
  <c r="E616" i="2"/>
  <c r="E615" i="2" s="1"/>
  <c r="E612" i="2"/>
  <c r="E611" i="2" s="1"/>
  <c r="E531" i="2"/>
  <c r="E530" i="2" s="1"/>
  <c r="E525" i="2"/>
  <c r="E520" i="2"/>
  <c r="E510" i="2"/>
  <c r="E505" i="2"/>
  <c r="E501" i="2"/>
  <c r="E500" i="2" s="1"/>
  <c r="E498" i="2"/>
  <c r="E497" i="2"/>
  <c r="E496" i="2" s="1"/>
  <c r="E492" i="2"/>
  <c r="E491" i="2" s="1"/>
  <c r="E489" i="2"/>
  <c r="E487" i="2"/>
  <c r="E9" i="13" l="1"/>
  <c r="E8" i="13" s="1"/>
  <c r="M20" i="10"/>
  <c r="E9" i="6"/>
  <c r="E596" i="2"/>
  <c r="C24" i="10"/>
  <c r="E486" i="2"/>
  <c r="E504" i="2"/>
  <c r="E597" i="2"/>
  <c r="E595" i="2" s="1"/>
  <c r="E495" i="2"/>
  <c r="C33" i="10"/>
  <c r="C29" i="10"/>
  <c r="E519" i="2"/>
  <c r="C32" i="10" s="1"/>
  <c r="E483" i="2"/>
  <c r="E482" i="2" s="1"/>
  <c r="E480" i="2"/>
  <c r="E478" i="2"/>
  <c r="E474" i="2"/>
  <c r="E473" i="2" s="1"/>
  <c r="E471" i="2"/>
  <c r="E469" i="2"/>
  <c r="E465" i="2"/>
  <c r="E463" i="2"/>
  <c r="E460" i="2"/>
  <c r="E457" i="2"/>
  <c r="E452" i="2"/>
  <c r="E450" i="2"/>
  <c r="E448" i="2"/>
  <c r="E422" i="2"/>
  <c r="E419" i="2"/>
  <c r="E418" i="2" s="1"/>
  <c r="E416" i="2"/>
  <c r="E412" i="2"/>
  <c r="E411" i="2" s="1"/>
  <c r="E384" i="2"/>
  <c r="E382" i="2"/>
  <c r="E381" i="2" s="1"/>
  <c r="E379" i="2"/>
  <c r="E376" i="2"/>
  <c r="E375" i="2" s="1"/>
  <c r="E370" i="2"/>
  <c r="E372" i="2"/>
  <c r="E367" i="2"/>
  <c r="E364" i="2"/>
  <c r="E363" i="2" s="1"/>
  <c r="E358" i="2"/>
  <c r="E360" i="2"/>
  <c r="E355" i="2"/>
  <c r="E352" i="2"/>
  <c r="E351" i="2" s="1"/>
  <c r="E348" i="2"/>
  <c r="E346" i="2"/>
  <c r="E345" i="2" s="1"/>
  <c r="E343" i="2"/>
  <c r="E340" i="2"/>
  <c r="E339" i="2" s="1"/>
  <c r="E336" i="2"/>
  <c r="E334" i="2"/>
  <c r="E331" i="2"/>
  <c r="E328" i="2"/>
  <c r="E327" i="2" s="1"/>
  <c r="E324" i="2"/>
  <c r="E322" i="2"/>
  <c r="E321" i="2" s="1"/>
  <c r="E319" i="2"/>
  <c r="E316" i="2"/>
  <c r="E312" i="2"/>
  <c r="E309" i="2" s="1"/>
  <c r="E307" i="2"/>
  <c r="E304" i="2"/>
  <c r="E300" i="2"/>
  <c r="E297" i="2" s="1"/>
  <c r="E295" i="2"/>
  <c r="E292" i="2"/>
  <c r="E291" i="2" s="1"/>
  <c r="E288" i="2"/>
  <c r="E285" i="2" s="1"/>
  <c r="E283" i="2"/>
  <c r="E280" i="2"/>
  <c r="E256" i="2"/>
  <c r="E252" i="2"/>
  <c r="E235" i="2"/>
  <c r="E229" i="2"/>
  <c r="E225" i="2"/>
  <c r="E224" i="2" s="1"/>
  <c r="E195" i="2"/>
  <c r="E194" i="2"/>
  <c r="E192" i="2"/>
  <c r="E190" i="2"/>
  <c r="E189" i="2" s="1"/>
  <c r="D740" i="2"/>
  <c r="D736" i="2"/>
  <c r="D728" i="2"/>
  <c r="D712" i="2"/>
  <c r="D652" i="2"/>
  <c r="D637" i="2"/>
  <c r="D629" i="2"/>
  <c r="D626" i="2"/>
  <c r="D625" i="2"/>
  <c r="D617" i="2"/>
  <c r="D532" i="2"/>
  <c r="D502" i="2"/>
  <c r="D499" i="2"/>
  <c r="D497" i="2"/>
  <c r="D493" i="2"/>
  <c r="D490" i="2"/>
  <c r="D488" i="2"/>
  <c r="D464" i="2"/>
  <c r="D459" i="2"/>
  <c r="D413" i="2"/>
  <c r="D349" i="2"/>
  <c r="D347" i="2"/>
  <c r="D344" i="2"/>
  <c r="D342" i="2"/>
  <c r="D341" i="2"/>
  <c r="D337" i="2"/>
  <c r="D335" i="2"/>
  <c r="D332" i="2"/>
  <c r="D330" i="2"/>
  <c r="D262" i="2"/>
  <c r="D255" i="2"/>
  <c r="D254" i="2"/>
  <c r="D230" i="2"/>
  <c r="D196" i="2"/>
  <c r="D193" i="2"/>
  <c r="D185" i="2"/>
  <c r="D182" i="2"/>
  <c r="D180" i="2"/>
  <c r="D155" i="2"/>
  <c r="D153" i="2"/>
  <c r="D150" i="2"/>
  <c r="D148" i="2"/>
  <c r="D120" i="2"/>
  <c r="D117" i="2"/>
  <c r="D115" i="2"/>
  <c r="D122" i="2"/>
  <c r="D110" i="2"/>
  <c r="D107" i="2"/>
  <c r="D104" i="2"/>
  <c r="M24" i="10" l="1"/>
  <c r="E477" i="2"/>
  <c r="C26" i="10"/>
  <c r="E369" i="2"/>
  <c r="E357" i="2"/>
  <c r="E456" i="2"/>
  <c r="E462" i="2"/>
  <c r="E468" i="2"/>
  <c r="E45" i="2"/>
  <c r="E25" i="2" s="1"/>
  <c r="E232" i="2"/>
  <c r="E231" i="2" s="1"/>
  <c r="C28" i="10"/>
  <c r="E251" i="2"/>
  <c r="E279" i="2"/>
  <c r="E315" i="2"/>
  <c r="E447" i="2"/>
  <c r="E333" i="2"/>
  <c r="E303" i="2"/>
  <c r="C25" i="10" l="1"/>
  <c r="I143" i="4" l="1"/>
  <c r="J435" i="2" l="1"/>
  <c r="I435" i="2"/>
  <c r="K433" i="2"/>
  <c r="J433" i="2"/>
  <c r="I433" i="2"/>
  <c r="H433" i="2"/>
  <c r="G433" i="2"/>
  <c r="F433" i="2"/>
  <c r="K435" i="2"/>
  <c r="G484" i="2"/>
  <c r="D729" i="2" l="1"/>
  <c r="D732" i="2"/>
  <c r="H35" i="3" l="1"/>
  <c r="H36" i="3"/>
  <c r="B136" i="1"/>
  <c r="E136" i="1"/>
  <c r="G607" i="2" l="1"/>
  <c r="H607" i="2"/>
  <c r="I607" i="2"/>
  <c r="J607" i="2"/>
  <c r="K607" i="2"/>
  <c r="L607" i="2"/>
  <c r="G601" i="2"/>
  <c r="H601" i="2"/>
  <c r="I601" i="2"/>
  <c r="J601" i="2"/>
  <c r="K601" i="2"/>
  <c r="L601" i="2"/>
  <c r="G719" i="2"/>
  <c r="H719" i="2"/>
  <c r="I719" i="2"/>
  <c r="J719" i="2"/>
  <c r="K719" i="2"/>
  <c r="L719" i="2"/>
  <c r="F720" i="2"/>
  <c r="D720" i="2" s="1"/>
  <c r="F721" i="2"/>
  <c r="F724" i="2"/>
  <c r="L723" i="2"/>
  <c r="L722" i="2" s="1"/>
  <c r="K723" i="2"/>
  <c r="J723" i="2"/>
  <c r="J722" i="2" s="1"/>
  <c r="I723" i="2"/>
  <c r="H723" i="2"/>
  <c r="H722" i="2" s="1"/>
  <c r="G723" i="2"/>
  <c r="F723" i="2"/>
  <c r="F722" i="2" s="1"/>
  <c r="K722" i="2"/>
  <c r="I722" i="2"/>
  <c r="G722" i="2"/>
  <c r="G633" i="2"/>
  <c r="F633" i="2"/>
  <c r="D633" i="2" s="1"/>
  <c r="F649" i="2"/>
  <c r="D649" i="2" s="1"/>
  <c r="F651" i="2"/>
  <c r="F650" i="2" s="1"/>
  <c r="G651" i="2"/>
  <c r="G650" i="2" s="1"/>
  <c r="H651" i="2"/>
  <c r="H650" i="2" s="1"/>
  <c r="I651" i="2"/>
  <c r="I650" i="2" s="1"/>
  <c r="J651" i="2"/>
  <c r="J650" i="2" s="1"/>
  <c r="K651" i="2"/>
  <c r="K650" i="2" s="1"/>
  <c r="L651" i="2"/>
  <c r="L650" i="2" s="1"/>
  <c r="D651" i="2"/>
  <c r="D650" i="2" s="1"/>
  <c r="D724" i="2" l="1"/>
  <c r="D723" i="2" s="1"/>
  <c r="D722" i="2" s="1"/>
  <c r="F601" i="2"/>
  <c r="D721" i="2"/>
  <c r="D601" i="2" s="1"/>
  <c r="F719" i="2"/>
  <c r="D607" i="2"/>
  <c r="F607" i="2"/>
  <c r="G142" i="9"/>
  <c r="F142" i="9"/>
  <c r="D142" i="9" s="1"/>
  <c r="G139" i="9"/>
  <c r="F139" i="9"/>
  <c r="D139" i="9" s="1"/>
  <c r="G137" i="9"/>
  <c r="F137" i="9"/>
  <c r="D137" i="9" s="1"/>
  <c r="D244" i="9" l="1"/>
  <c r="I21" i="9"/>
  <c r="J21" i="9"/>
  <c r="K21" i="9"/>
  <c r="L21" i="9"/>
  <c r="F19" i="9"/>
  <c r="G19" i="9"/>
  <c r="H19" i="9"/>
  <c r="I19" i="9"/>
  <c r="J19" i="9"/>
  <c r="K19" i="9"/>
  <c r="L19" i="9"/>
  <c r="D19" i="9"/>
  <c r="D18" i="9" s="1"/>
  <c r="L18" i="9"/>
  <c r="K18" i="9"/>
  <c r="J18" i="9"/>
  <c r="I18" i="9"/>
  <c r="H18" i="9"/>
  <c r="G18" i="9"/>
  <c r="F18" i="9"/>
  <c r="I13" i="9"/>
  <c r="J13" i="9"/>
  <c r="K13" i="9"/>
  <c r="L13" i="9"/>
  <c r="H13" i="9"/>
  <c r="G13" i="9"/>
  <c r="F13" i="9"/>
  <c r="M13" i="9"/>
  <c r="G480" i="2" l="1"/>
  <c r="G478" i="2"/>
  <c r="H483" i="2"/>
  <c r="H482" i="2" s="1"/>
  <c r="F484" i="2"/>
  <c r="D484" i="2" s="1"/>
  <c r="F481" i="2"/>
  <c r="D481" i="2" s="1"/>
  <c r="F479" i="2"/>
  <c r="D479" i="2" s="1"/>
  <c r="G469" i="2"/>
  <c r="H474" i="2"/>
  <c r="H473" i="2" s="1"/>
  <c r="G475" i="2"/>
  <c r="F475" i="2"/>
  <c r="D475" i="2" s="1"/>
  <c r="G471" i="2"/>
  <c r="G468" i="2" s="1"/>
  <c r="F472" i="2"/>
  <c r="D472" i="2" s="1"/>
  <c r="F470" i="2"/>
  <c r="D470" i="2" s="1"/>
  <c r="G460" i="2"/>
  <c r="H465" i="2"/>
  <c r="H462" i="2" s="1"/>
  <c r="G466" i="2"/>
  <c r="F466" i="2"/>
  <c r="F461" i="2"/>
  <c r="D461" i="2" s="1"/>
  <c r="F458" i="2"/>
  <c r="D458" i="2" s="1"/>
  <c r="G454" i="2"/>
  <c r="F454" i="2"/>
  <c r="D454" i="2" s="1"/>
  <c r="F451" i="2"/>
  <c r="D451" i="2" s="1"/>
  <c r="F449" i="2"/>
  <c r="D449" i="2" s="1"/>
  <c r="D466" i="2" l="1"/>
  <c r="G477" i="2"/>
  <c r="G384" i="2"/>
  <c r="G381" i="2" s="1"/>
  <c r="F380" i="2"/>
  <c r="D380" i="2" s="1"/>
  <c r="F385" i="2"/>
  <c r="D385" i="2" s="1"/>
  <c r="D377" i="2"/>
  <c r="F147" i="2"/>
  <c r="D147" i="2" s="1"/>
  <c r="F100" i="2"/>
  <c r="D100" i="2" s="1"/>
  <c r="F191" i="2"/>
  <c r="D191" i="2" s="1"/>
  <c r="F170" i="2"/>
  <c r="F179" i="2"/>
  <c r="D179" i="2" s="1"/>
  <c r="G373" i="2" l="1"/>
  <c r="G368" i="2"/>
  <c r="G365" i="2"/>
  <c r="F373" i="2"/>
  <c r="D373" i="2" s="1"/>
  <c r="F368" i="2"/>
  <c r="D368" i="2" s="1"/>
  <c r="F365" i="2"/>
  <c r="D365" i="2" s="1"/>
  <c r="F237" i="2"/>
  <c r="D237" i="2" s="1"/>
  <c r="F226" i="2"/>
  <c r="D226" i="2" s="1"/>
  <c r="G361" i="2"/>
  <c r="G356" i="2"/>
  <c r="G353" i="2"/>
  <c r="F361" i="2"/>
  <c r="D361" i="2" s="1"/>
  <c r="F356" i="2"/>
  <c r="F353" i="2"/>
  <c r="D353" i="2" s="1"/>
  <c r="D277" i="2"/>
  <c r="D272" i="2"/>
  <c r="D269" i="2"/>
  <c r="D296" i="2"/>
  <c r="F320" i="2"/>
  <c r="D320" i="2" s="1"/>
  <c r="F317" i="2"/>
  <c r="D317" i="2" s="1"/>
  <c r="D308" i="2"/>
  <c r="G289" i="2"/>
  <c r="G284" i="2"/>
  <c r="G281" i="2"/>
  <c r="F289" i="2"/>
  <c r="D289" i="2" s="1"/>
  <c r="F284" i="2"/>
  <c r="F281" i="2"/>
  <c r="D281" i="2" s="1"/>
  <c r="D265" i="2"/>
  <c r="D258" i="2"/>
  <c r="H9" i="7"/>
  <c r="I9" i="7"/>
  <c r="J9" i="7"/>
  <c r="L9" i="7"/>
  <c r="H13" i="7"/>
  <c r="I13" i="7"/>
  <c r="J13" i="7"/>
  <c r="G94" i="7"/>
  <c r="F94" i="7"/>
  <c r="D94" i="7" s="1"/>
  <c r="D113" i="7"/>
  <c r="K112" i="7"/>
  <c r="J112" i="7"/>
  <c r="I112" i="7"/>
  <c r="H112" i="7"/>
  <c r="G112" i="7"/>
  <c r="F112" i="7"/>
  <c r="K110" i="7"/>
  <c r="K109" i="7" s="1"/>
  <c r="J110" i="7"/>
  <c r="I110" i="7"/>
  <c r="I109" i="7" s="1"/>
  <c r="H110" i="7"/>
  <c r="G110" i="7"/>
  <c r="G109" i="7" s="1"/>
  <c r="F110" i="7"/>
  <c r="H109" i="7"/>
  <c r="M107" i="7"/>
  <c r="K107" i="7"/>
  <c r="J107" i="7"/>
  <c r="I107" i="7"/>
  <c r="H107" i="7"/>
  <c r="G107" i="7"/>
  <c r="F107" i="7"/>
  <c r="M106" i="7"/>
  <c r="M104" i="7" s="1"/>
  <c r="M103" i="7" s="1"/>
  <c r="D104" i="7"/>
  <c r="K104" i="7"/>
  <c r="J104" i="7"/>
  <c r="I104" i="7"/>
  <c r="H104" i="7"/>
  <c r="G104" i="7"/>
  <c r="F104" i="7"/>
  <c r="I103" i="7"/>
  <c r="G24" i="7"/>
  <c r="G9" i="7" s="1"/>
  <c r="F24" i="7"/>
  <c r="H127" i="9"/>
  <c r="H126" i="9" s="1"/>
  <c r="H129" i="9"/>
  <c r="G130" i="9"/>
  <c r="G128" i="9"/>
  <c r="F130" i="9"/>
  <c r="D130" i="9" s="1"/>
  <c r="F128" i="9"/>
  <c r="D128" i="9" s="1"/>
  <c r="D124" i="9"/>
  <c r="D121" i="9"/>
  <c r="D119" i="9"/>
  <c r="H115" i="9"/>
  <c r="D115" i="9"/>
  <c r="D112" i="9"/>
  <c r="D110" i="9"/>
  <c r="H106" i="9"/>
  <c r="H21" i="9" s="1"/>
  <c r="D101" i="9"/>
  <c r="D103" i="9" l="1"/>
  <c r="D106" i="9"/>
  <c r="D111" i="7"/>
  <c r="D110" i="7" s="1"/>
  <c r="F9" i="7"/>
  <c r="D24" i="7"/>
  <c r="F103" i="7"/>
  <c r="H103" i="7"/>
  <c r="J103" i="7"/>
  <c r="F109" i="7"/>
  <c r="D284" i="2"/>
  <c r="D305" i="2"/>
  <c r="D313" i="2"/>
  <c r="D293" i="2"/>
  <c r="D301" i="2"/>
  <c r="D356" i="2"/>
  <c r="G103" i="7"/>
  <c r="K103" i="7"/>
  <c r="J109" i="7"/>
  <c r="F13" i="7"/>
  <c r="G13" i="7"/>
  <c r="D112" i="7"/>
  <c r="E112" i="7"/>
  <c r="E107" i="7"/>
  <c r="E103" i="7" s="1"/>
  <c r="E110" i="7"/>
  <c r="F246" i="9"/>
  <c r="L250" i="9"/>
  <c r="K250" i="9"/>
  <c r="J250" i="9"/>
  <c r="I250" i="9"/>
  <c r="H250" i="9"/>
  <c r="G250" i="9"/>
  <c r="F250" i="9"/>
  <c r="L249" i="9"/>
  <c r="K249" i="9"/>
  <c r="J249" i="9"/>
  <c r="F249" i="9"/>
  <c r="M248" i="9"/>
  <c r="D248" i="9"/>
  <c r="M247" i="9"/>
  <c r="D247" i="9"/>
  <c r="L246" i="9"/>
  <c r="K246" i="9"/>
  <c r="J246" i="9"/>
  <c r="I246" i="9"/>
  <c r="H246" i="9"/>
  <c r="G246" i="9"/>
  <c r="L245" i="9"/>
  <c r="K245" i="9"/>
  <c r="J245" i="9"/>
  <c r="I245" i="9"/>
  <c r="H245" i="9"/>
  <c r="G245" i="9"/>
  <c r="F245" i="9"/>
  <c r="M244" i="9"/>
  <c r="M243" i="9"/>
  <c r="D243" i="9"/>
  <c r="L242" i="9"/>
  <c r="K242" i="9"/>
  <c r="K241" i="9" s="1"/>
  <c r="J242" i="9"/>
  <c r="I242" i="9"/>
  <c r="I241" i="9" s="1"/>
  <c r="H242" i="9"/>
  <c r="G242" i="9"/>
  <c r="G241" i="9" s="1"/>
  <c r="F242" i="9"/>
  <c r="L241" i="9"/>
  <c r="J241" i="9"/>
  <c r="H241" i="9"/>
  <c r="F241" i="9"/>
  <c r="K240" i="9" l="1"/>
  <c r="H249" i="9"/>
  <c r="J240" i="9"/>
  <c r="L240" i="9"/>
  <c r="D242" i="9"/>
  <c r="G249" i="9"/>
  <c r="I249" i="9"/>
  <c r="D246" i="9"/>
  <c r="D109" i="7"/>
  <c r="D108" i="7"/>
  <c r="D107" i="7" s="1"/>
  <c r="D103" i="7" s="1"/>
  <c r="H240" i="9"/>
  <c r="F240" i="9"/>
  <c r="I240" i="9"/>
  <c r="D249" i="9"/>
  <c r="D250" i="9"/>
  <c r="E109" i="7"/>
  <c r="M246" i="9"/>
  <c r="G240" i="9"/>
  <c r="M245" i="9"/>
  <c r="M242" i="9"/>
  <c r="M241" i="9"/>
  <c r="D245" i="9"/>
  <c r="I156" i="6"/>
  <c r="H156" i="6"/>
  <c r="F151" i="6"/>
  <c r="F147" i="6"/>
  <c r="H137" i="6"/>
  <c r="F132" i="6"/>
  <c r="M240" i="9" l="1"/>
  <c r="D241" i="9"/>
  <c r="D240" i="9" s="1"/>
  <c r="G156" i="6"/>
  <c r="G152" i="6"/>
  <c r="G147" i="6"/>
  <c r="H142" i="6"/>
  <c r="G142" i="6"/>
  <c r="G137" i="6"/>
  <c r="H133" i="6"/>
  <c r="F133" i="6"/>
  <c r="G132" i="6"/>
  <c r="G129" i="6"/>
  <c r="F129" i="6"/>
  <c r="G128" i="6"/>
  <c r="H123" i="6"/>
  <c r="F123" i="6"/>
  <c r="K120" i="6"/>
  <c r="F81" i="6" l="1"/>
  <c r="D81" i="6" s="1"/>
  <c r="F79" i="6"/>
  <c r="D79" i="6" s="1"/>
  <c r="F76" i="6"/>
  <c r="D76" i="6" s="1"/>
  <c r="F74" i="6"/>
  <c r="D74" i="6" s="1"/>
  <c r="G160" i="9" l="1"/>
  <c r="F160" i="9"/>
  <c r="D13" i="9"/>
  <c r="D160" i="9"/>
  <c r="F155" i="9"/>
  <c r="G155" i="9"/>
  <c r="F154" i="9"/>
  <c r="G154" i="9"/>
  <c r="H154" i="9"/>
  <c r="I154" i="9"/>
  <c r="J154" i="9"/>
  <c r="K154" i="9"/>
  <c r="L154" i="9"/>
  <c r="G234" i="9"/>
  <c r="D234" i="9" s="1"/>
  <c r="F237" i="9"/>
  <c r="G237" i="9"/>
  <c r="H237" i="9"/>
  <c r="I237" i="9"/>
  <c r="J237" i="9"/>
  <c r="K237" i="9"/>
  <c r="L237" i="9"/>
  <c r="F236" i="9"/>
  <c r="H236" i="9"/>
  <c r="J236" i="9"/>
  <c r="L236" i="9"/>
  <c r="F232" i="9"/>
  <c r="G232" i="9"/>
  <c r="H232" i="9"/>
  <c r="I232" i="9"/>
  <c r="J232" i="9"/>
  <c r="K232" i="9"/>
  <c r="L232" i="9"/>
  <c r="L231" i="9" s="1"/>
  <c r="F231" i="9"/>
  <c r="D226" i="9"/>
  <c r="D225" i="9"/>
  <c r="D221" i="9"/>
  <c r="M235" i="9"/>
  <c r="M234" i="9" s="1"/>
  <c r="M233" i="9"/>
  <c r="M232" i="9" s="1"/>
  <c r="F228" i="9"/>
  <c r="G228" i="9"/>
  <c r="H228" i="9"/>
  <c r="I228" i="9"/>
  <c r="J228" i="9"/>
  <c r="K228" i="9"/>
  <c r="L228" i="9"/>
  <c r="M221" i="9"/>
  <c r="M222" i="9"/>
  <c r="M225" i="9"/>
  <c r="M226" i="9"/>
  <c r="F224" i="9"/>
  <c r="G224" i="9"/>
  <c r="H224" i="9"/>
  <c r="I224" i="9"/>
  <c r="J224" i="9"/>
  <c r="K224" i="9"/>
  <c r="L224" i="9"/>
  <c r="F220" i="9"/>
  <c r="G220" i="9"/>
  <c r="H220" i="9"/>
  <c r="I220" i="9"/>
  <c r="J220" i="9"/>
  <c r="K220" i="9"/>
  <c r="L220" i="9"/>
  <c r="G236" i="9" l="1"/>
  <c r="D155" i="9"/>
  <c r="K227" i="9"/>
  <c r="I227" i="9"/>
  <c r="G227" i="9"/>
  <c r="K231" i="9"/>
  <c r="G231" i="9"/>
  <c r="D224" i="9"/>
  <c r="F12" i="9"/>
  <c r="F11" i="9" s="1"/>
  <c r="D220" i="9"/>
  <c r="D219" i="9" s="1"/>
  <c r="L227" i="9"/>
  <c r="J227" i="9"/>
  <c r="H227" i="9"/>
  <c r="F227" i="9"/>
  <c r="I231" i="9"/>
  <c r="J231" i="9"/>
  <c r="H231" i="9"/>
  <c r="K236" i="9"/>
  <c r="I236" i="9"/>
  <c r="K223" i="9"/>
  <c r="K15" i="9"/>
  <c r="I223" i="9"/>
  <c r="I15" i="9"/>
  <c r="G223" i="9"/>
  <c r="L223" i="9"/>
  <c r="L15" i="9"/>
  <c r="J223" i="9"/>
  <c r="J15" i="9"/>
  <c r="H223" i="9"/>
  <c r="F223" i="9"/>
  <c r="D223" i="9" s="1"/>
  <c r="L219" i="9"/>
  <c r="L12" i="9"/>
  <c r="L11" i="9" s="1"/>
  <c r="J219" i="9"/>
  <c r="J12" i="9"/>
  <c r="J11" i="9" s="1"/>
  <c r="H219" i="9"/>
  <c r="K219" i="9"/>
  <c r="K12" i="9"/>
  <c r="I219" i="9"/>
  <c r="I12" i="9"/>
  <c r="I11" i="9" s="1"/>
  <c r="G219" i="9"/>
  <c r="G12" i="9"/>
  <c r="D236" i="9"/>
  <c r="D232" i="9"/>
  <c r="K11" i="9"/>
  <c r="D228" i="9"/>
  <c r="D237" i="9"/>
  <c r="D231" i="9"/>
  <c r="M231" i="9"/>
  <c r="K218" i="9"/>
  <c r="G218" i="9"/>
  <c r="L218" i="9"/>
  <c r="M220" i="9"/>
  <c r="M224" i="9"/>
  <c r="F219" i="9"/>
  <c r="F105" i="13"/>
  <c r="H105" i="13"/>
  <c r="I105" i="13"/>
  <c r="J105" i="13"/>
  <c r="K105" i="13"/>
  <c r="L105" i="13"/>
  <c r="M740" i="2"/>
  <c r="M739" i="2" s="1"/>
  <c r="M738" i="2" s="1"/>
  <c r="F739" i="2"/>
  <c r="F738" i="2" s="1"/>
  <c r="G739" i="2"/>
  <c r="G738" i="2" s="1"/>
  <c r="H739" i="2"/>
  <c r="H738" i="2" s="1"/>
  <c r="I739" i="2"/>
  <c r="I738" i="2" s="1"/>
  <c r="J739" i="2"/>
  <c r="J738" i="2" s="1"/>
  <c r="J597" i="2" s="1"/>
  <c r="K739" i="2"/>
  <c r="K738" i="2" s="1"/>
  <c r="K597" i="2" s="1"/>
  <c r="L739" i="2"/>
  <c r="L738" i="2" s="1"/>
  <c r="L597" i="2" s="1"/>
  <c r="D739" i="2"/>
  <c r="D738" i="2" s="1"/>
  <c r="I614" i="2"/>
  <c r="I613" i="2"/>
  <c r="H614" i="2"/>
  <c r="H613" i="2"/>
  <c r="G614" i="2"/>
  <c r="G613" i="2"/>
  <c r="F614" i="2"/>
  <c r="D614" i="2" s="1"/>
  <c r="F613" i="2"/>
  <c r="D613" i="2" s="1"/>
  <c r="I679" i="2"/>
  <c r="I606" i="2" s="1"/>
  <c r="H679" i="2"/>
  <c r="H606" i="2" s="1"/>
  <c r="G679" i="2"/>
  <c r="G606" i="2" s="1"/>
  <c r="F679" i="2"/>
  <c r="I675" i="2"/>
  <c r="H675" i="2"/>
  <c r="G675" i="2"/>
  <c r="F675" i="2"/>
  <c r="D675" i="2" s="1"/>
  <c r="H218" i="9" l="1"/>
  <c r="D227" i="9"/>
  <c r="J218" i="9"/>
  <c r="M223" i="9"/>
  <c r="I218" i="9"/>
  <c r="F606" i="2"/>
  <c r="D679" i="2"/>
  <c r="D218" i="9"/>
  <c r="M219" i="9"/>
  <c r="F218" i="9"/>
  <c r="M218" i="9" l="1"/>
  <c r="L10" i="13" l="1"/>
  <c r="K10" i="13"/>
  <c r="J10" i="13"/>
  <c r="I10" i="13"/>
  <c r="H10" i="13"/>
  <c r="G10" i="13"/>
  <c r="H20" i="13"/>
  <c r="I20" i="13"/>
  <c r="J20" i="13"/>
  <c r="K20" i="13"/>
  <c r="L22" i="6" l="1"/>
  <c r="K22" i="6"/>
  <c r="J22" i="6"/>
  <c r="I22" i="6"/>
  <c r="H22" i="6"/>
  <c r="J30" i="10"/>
  <c r="I33" i="10"/>
  <c r="H33" i="10"/>
  <c r="I32" i="10"/>
  <c r="H32" i="10"/>
  <c r="D16" i="4" l="1"/>
  <c r="G68" i="13" l="1"/>
  <c r="G70" i="13"/>
  <c r="D70" i="13" s="1"/>
  <c r="H23" i="13"/>
  <c r="G23" i="13"/>
  <c r="F23" i="13"/>
  <c r="M74" i="13"/>
  <c r="M76" i="13"/>
  <c r="F73" i="13"/>
  <c r="F75" i="13"/>
  <c r="G78" i="13"/>
  <c r="G80" i="13"/>
  <c r="G522" i="2"/>
  <c r="H522" i="2"/>
  <c r="I522" i="2"/>
  <c r="F522" i="2"/>
  <c r="F527" i="2"/>
  <c r="G527" i="2"/>
  <c r="H527" i="2"/>
  <c r="I527" i="2"/>
  <c r="J427" i="2"/>
  <c r="K430" i="2"/>
  <c r="J430" i="2"/>
  <c r="L435" i="2"/>
  <c r="D68" i="13" l="1"/>
  <c r="D20" i="13" s="1"/>
  <c r="G20" i="13"/>
  <c r="F72" i="13"/>
  <c r="M73" i="13"/>
  <c r="M75" i="13"/>
  <c r="D527" i="2"/>
  <c r="G77" i="13"/>
  <c r="G105" i="13" l="1"/>
  <c r="D105" i="13"/>
  <c r="F10" i="13"/>
  <c r="M72" i="13"/>
  <c r="D522" i="2"/>
  <c r="D523" i="2"/>
  <c r="D524" i="2"/>
  <c r="M522" i="2"/>
  <c r="M523" i="2"/>
  <c r="M524" i="2"/>
  <c r="G521" i="2"/>
  <c r="H521" i="2"/>
  <c r="I521" i="2"/>
  <c r="I427" i="2" s="1"/>
  <c r="F521" i="2"/>
  <c r="D521" i="2" s="1"/>
  <c r="M527" i="2"/>
  <c r="M528" i="2"/>
  <c r="M529" i="2"/>
  <c r="G526" i="2"/>
  <c r="H526" i="2"/>
  <c r="I526" i="2"/>
  <c r="I430" i="2" s="1"/>
  <c r="F526" i="2"/>
  <c r="M47" i="6"/>
  <c r="M48" i="6"/>
  <c r="D531" i="2"/>
  <c r="D530" i="2" s="1"/>
  <c r="H531" i="2"/>
  <c r="I531" i="2"/>
  <c r="G531" i="2"/>
  <c r="D526" i="2" l="1"/>
  <c r="F525" i="2"/>
  <c r="I530" i="2"/>
  <c r="G530" i="2"/>
  <c r="H530" i="2"/>
  <c r="H520" i="2"/>
  <c r="I520" i="2"/>
  <c r="G520" i="2"/>
  <c r="F520" i="2"/>
  <c r="M521" i="2"/>
  <c r="G525" i="2"/>
  <c r="H525" i="2"/>
  <c r="I525" i="2"/>
  <c r="M526" i="2"/>
  <c r="D525" i="2" l="1"/>
  <c r="H519" i="2"/>
  <c r="G519" i="2"/>
  <c r="F519" i="2"/>
  <c r="D520" i="2"/>
  <c r="M520" i="2"/>
  <c r="I519" i="2"/>
  <c r="M525" i="2"/>
  <c r="G32" i="10" l="1"/>
  <c r="D519" i="2"/>
  <c r="M519" i="2"/>
  <c r="L15" i="6" l="1"/>
  <c r="K15" i="6"/>
  <c r="J15" i="6"/>
  <c r="D55" i="6" l="1"/>
  <c r="D57" i="6"/>
  <c r="G55" i="6"/>
  <c r="H55" i="6"/>
  <c r="I55" i="6"/>
  <c r="J55" i="6"/>
  <c r="F55" i="6"/>
  <c r="G57" i="6"/>
  <c r="H57" i="6"/>
  <c r="I57" i="6"/>
  <c r="J57" i="6"/>
  <c r="F57" i="6"/>
  <c r="M44" i="6"/>
  <c r="M43" i="6"/>
  <c r="M52" i="6"/>
  <c r="M53" i="6"/>
  <c r="F41" i="6"/>
  <c r="G41" i="6"/>
  <c r="H41" i="6"/>
  <c r="I41" i="6"/>
  <c r="F45" i="6"/>
  <c r="G45" i="6"/>
  <c r="H45" i="6"/>
  <c r="H15" i="6" s="1"/>
  <c r="I45" i="6"/>
  <c r="F50" i="6"/>
  <c r="G50" i="6"/>
  <c r="G49" i="6" s="1"/>
  <c r="H50" i="6"/>
  <c r="H49" i="6" s="1"/>
  <c r="I50" i="6"/>
  <c r="I49" i="6" s="1"/>
  <c r="F61" i="6"/>
  <c r="F49" i="6" l="1"/>
  <c r="D50" i="6"/>
  <c r="D45" i="6"/>
  <c r="D41" i="6"/>
  <c r="M41" i="6"/>
  <c r="J54" i="6"/>
  <c r="H54" i="6"/>
  <c r="F54" i="6"/>
  <c r="I54" i="6"/>
  <c r="G54" i="6"/>
  <c r="D54" i="6"/>
  <c r="M45" i="6"/>
  <c r="I15" i="6"/>
  <c r="M49" i="6"/>
  <c r="M50" i="6"/>
  <c r="D49" i="6"/>
  <c r="I40" i="6"/>
  <c r="G40" i="6"/>
  <c r="H40" i="6"/>
  <c r="F40" i="6"/>
  <c r="F39" i="6" l="1"/>
  <c r="H39" i="6"/>
  <c r="I39" i="6"/>
  <c r="G39" i="6"/>
  <c r="D40" i="6"/>
  <c r="D39" i="6" s="1"/>
  <c r="M40" i="6"/>
  <c r="M39" i="6" s="1"/>
  <c r="H192" i="6" l="1"/>
  <c r="G192" i="6"/>
  <c r="H196" i="6"/>
  <c r="G196" i="6"/>
  <c r="H197" i="6"/>
  <c r="G197" i="6"/>
  <c r="H203" i="6"/>
  <c r="G203" i="6"/>
  <c r="H204" i="6"/>
  <c r="G204" i="6"/>
  <c r="I219" i="6"/>
  <c r="H219" i="6"/>
  <c r="I220" i="6"/>
  <c r="H220" i="6"/>
  <c r="I224" i="6"/>
  <c r="H224" i="6"/>
  <c r="I227" i="6"/>
  <c r="H227" i="6"/>
  <c r="I231" i="6"/>
  <c r="H231" i="6"/>
  <c r="H42" i="3" l="1"/>
  <c r="G36" i="3"/>
  <c r="I36" i="3"/>
  <c r="H41" i="3"/>
  <c r="F41" i="3"/>
  <c r="I42" i="3"/>
  <c r="G42" i="3"/>
  <c r="F42" i="3"/>
  <c r="J48" i="3"/>
  <c r="I48" i="3"/>
  <c r="H48" i="3"/>
  <c r="G48" i="3"/>
  <c r="F680" i="2" l="1"/>
  <c r="D680" i="2" s="1"/>
  <c r="F676" i="2"/>
  <c r="D676" i="2" s="1"/>
  <c r="G608" i="2" l="1"/>
  <c r="H608" i="2"/>
  <c r="I608" i="2"/>
  <c r="J608" i="2"/>
  <c r="K608" i="2"/>
  <c r="L608" i="2"/>
  <c r="L602" i="2"/>
  <c r="K602" i="2"/>
  <c r="J602" i="2"/>
  <c r="I602" i="2"/>
  <c r="H602" i="2"/>
  <c r="G602" i="2"/>
  <c r="F602" i="2"/>
  <c r="F608" i="2"/>
  <c r="F731" i="2"/>
  <c r="F730" i="2" s="1"/>
  <c r="D731" i="2"/>
  <c r="L727" i="2"/>
  <c r="K727" i="2"/>
  <c r="J727" i="2"/>
  <c r="I727" i="2"/>
  <c r="H727" i="2"/>
  <c r="G727" i="2"/>
  <c r="M729" i="2" l="1"/>
  <c r="F727" i="2"/>
  <c r="D730" i="2"/>
  <c r="M120" i="4" l="1"/>
  <c r="H191" i="9" l="1"/>
  <c r="H195" i="9"/>
  <c r="G191" i="9"/>
  <c r="G195" i="9"/>
  <c r="F191" i="9"/>
  <c r="H190" i="9"/>
  <c r="G190" i="9"/>
  <c r="H194" i="9"/>
  <c r="G194" i="9"/>
  <c r="F190" i="9"/>
  <c r="F194" i="9"/>
  <c r="J41" i="13" l="1"/>
  <c r="I32" i="13"/>
  <c r="D32" i="13" l="1"/>
  <c r="I23" i="13"/>
  <c r="D41" i="13"/>
  <c r="J23" i="13"/>
  <c r="K104" i="13" l="1"/>
  <c r="L104" i="13"/>
  <c r="L106" i="13" s="1"/>
  <c r="K106" i="13"/>
  <c r="I218" i="8"/>
  <c r="J218" i="8"/>
  <c r="K218" i="8"/>
  <c r="L218" i="8"/>
  <c r="J747" i="2"/>
  <c r="K747" i="2"/>
  <c r="L747" i="2"/>
  <c r="G29" i="6" l="1"/>
  <c r="D29" i="6" s="1"/>
  <c r="G34" i="6"/>
  <c r="F34" i="6"/>
  <c r="K33" i="6"/>
  <c r="G163" i="9" l="1"/>
  <c r="G21" i="9" s="1"/>
  <c r="G158" i="9"/>
  <c r="G15" i="9" s="1"/>
  <c r="F163" i="9"/>
  <c r="F158" i="9"/>
  <c r="F145" i="9"/>
  <c r="D158" i="9" l="1"/>
  <c r="D163" i="9"/>
  <c r="F21" i="9"/>
  <c r="D253" i="2"/>
  <c r="F84" i="6" l="1"/>
  <c r="F86" i="6"/>
  <c r="F89" i="6"/>
  <c r="F91" i="6"/>
  <c r="F88" i="6" l="1"/>
  <c r="F83" i="6"/>
  <c r="I84" i="13"/>
  <c r="J84" i="13"/>
  <c r="K84" i="13"/>
  <c r="L84" i="13"/>
  <c r="M100" i="13"/>
  <c r="M99" i="13" s="1"/>
  <c r="M98" i="13" s="1"/>
  <c r="H99" i="13"/>
  <c r="H98" i="13" s="1"/>
  <c r="G99" i="13"/>
  <c r="G98" i="13" s="1"/>
  <c r="F99" i="13"/>
  <c r="F98" i="13" s="1"/>
  <c r="D99" i="13" l="1"/>
  <c r="D98" i="13" s="1"/>
  <c r="M34" i="6"/>
  <c r="M33" i="6"/>
  <c r="K31" i="6"/>
  <c r="J31" i="6"/>
  <c r="I31" i="6"/>
  <c r="H31" i="6"/>
  <c r="G31" i="6"/>
  <c r="F31" i="6"/>
  <c r="D31" i="6" s="1"/>
  <c r="D34" i="6"/>
  <c r="D33" i="6"/>
  <c r="D123" i="9" l="1"/>
  <c r="D122" i="9" s="1"/>
  <c r="H123" i="9"/>
  <c r="G123" i="9"/>
  <c r="G122" i="9" s="1"/>
  <c r="F123" i="9"/>
  <c r="F122" i="9" s="1"/>
  <c r="H122" i="9"/>
  <c r="G120" i="9"/>
  <c r="M121" i="9"/>
  <c r="M120" i="9" s="1"/>
  <c r="D120" i="9"/>
  <c r="F120" i="9"/>
  <c r="M119" i="9"/>
  <c r="M118" i="9" s="1"/>
  <c r="G118" i="9"/>
  <c r="M117" i="9" l="1"/>
  <c r="G117" i="9"/>
  <c r="D118" i="9"/>
  <c r="D117" i="9" s="1"/>
  <c r="F118" i="9"/>
  <c r="F117" i="9" l="1"/>
  <c r="H275" i="6"/>
  <c r="G275" i="6"/>
  <c r="L22" i="3" l="1"/>
  <c r="K22" i="3"/>
  <c r="J22" i="3"/>
  <c r="I22" i="3"/>
  <c r="H22" i="3"/>
  <c r="L250" i="3"/>
  <c r="K250" i="3"/>
  <c r="J250" i="3"/>
  <c r="I250" i="3"/>
  <c r="L249" i="3"/>
  <c r="K249" i="3"/>
  <c r="J249" i="3"/>
  <c r="I249" i="3"/>
  <c r="L248" i="3"/>
  <c r="K248" i="3"/>
  <c r="J248" i="3"/>
  <c r="I248" i="3"/>
  <c r="H250" i="3"/>
  <c r="G250" i="3"/>
  <c r="F250" i="3"/>
  <c r="G249" i="3"/>
  <c r="H249" i="3"/>
  <c r="D253" i="3"/>
  <c r="D254" i="3"/>
  <c r="D255" i="3"/>
  <c r="D251" i="3"/>
  <c r="D267" i="3"/>
  <c r="D266" i="3" s="1"/>
  <c r="L267" i="3"/>
  <c r="L266" i="3" s="1"/>
  <c r="K267" i="3"/>
  <c r="J267" i="3"/>
  <c r="J266" i="3" s="1"/>
  <c r="I267" i="3"/>
  <c r="I266" i="3" s="1"/>
  <c r="H267" i="3"/>
  <c r="H266" i="3" s="1"/>
  <c r="G267" i="3"/>
  <c r="F267" i="3"/>
  <c r="F266" i="3" s="1"/>
  <c r="K266" i="3"/>
  <c r="G266" i="3"/>
  <c r="D264" i="3"/>
  <c r="D263" i="3"/>
  <c r="L262" i="3"/>
  <c r="J261" i="3"/>
  <c r="I261" i="3"/>
  <c r="H261" i="3"/>
  <c r="K261" i="3"/>
  <c r="G261" i="3"/>
  <c r="D257" i="3"/>
  <c r="D256" i="3" s="1"/>
  <c r="L257" i="3"/>
  <c r="L256" i="3" s="1"/>
  <c r="K257" i="3"/>
  <c r="J257" i="3"/>
  <c r="I257" i="3"/>
  <c r="H257" i="3"/>
  <c r="G257" i="3"/>
  <c r="F257" i="3"/>
  <c r="D252" i="3"/>
  <c r="D245" i="3"/>
  <c r="D244" i="3" s="1"/>
  <c r="L245" i="3"/>
  <c r="L244" i="3" s="1"/>
  <c r="K245" i="3"/>
  <c r="K244" i="3" s="1"/>
  <c r="J245" i="3"/>
  <c r="J244" i="3" s="1"/>
  <c r="I245" i="3"/>
  <c r="H245" i="3"/>
  <c r="G245" i="3"/>
  <c r="F245" i="3"/>
  <c r="D243" i="3"/>
  <c r="D242" i="3"/>
  <c r="L241" i="3"/>
  <c r="K241" i="3"/>
  <c r="K240" i="3" s="1"/>
  <c r="J241" i="3"/>
  <c r="J240" i="3" s="1"/>
  <c r="I241" i="3"/>
  <c r="H241" i="3"/>
  <c r="G241" i="3"/>
  <c r="F241" i="3"/>
  <c r="D239" i="3"/>
  <c r="D238" i="3"/>
  <c r="L237" i="3"/>
  <c r="L236" i="3" s="1"/>
  <c r="K237" i="3"/>
  <c r="K236" i="3" s="1"/>
  <c r="J237" i="3"/>
  <c r="J236" i="3" s="1"/>
  <c r="I237" i="3"/>
  <c r="I236" i="3" s="1"/>
  <c r="H237" i="3"/>
  <c r="H236" i="3" s="1"/>
  <c r="G237" i="3"/>
  <c r="G236" i="3" s="1"/>
  <c r="F237" i="3"/>
  <c r="F60" i="3"/>
  <c r="F55" i="3"/>
  <c r="F54" i="3"/>
  <c r="L261" i="3" l="1"/>
  <c r="L260" i="3" s="1"/>
  <c r="D262" i="3"/>
  <c r="F256" i="3"/>
  <c r="J256" i="3"/>
  <c r="F249" i="3"/>
  <c r="F248" i="3" s="1"/>
  <c r="D250" i="3"/>
  <c r="D241" i="3"/>
  <c r="D237" i="3"/>
  <c r="H256" i="3"/>
  <c r="J235" i="3"/>
  <c r="G244" i="3"/>
  <c r="I244" i="3"/>
  <c r="G256" i="3"/>
  <c r="I256" i="3"/>
  <c r="K256" i="3"/>
  <c r="G260" i="3"/>
  <c r="H260" i="3"/>
  <c r="J260" i="3"/>
  <c r="F244" i="3"/>
  <c r="H244" i="3"/>
  <c r="H248" i="3"/>
  <c r="K260" i="3"/>
  <c r="I260" i="3"/>
  <c r="G248" i="3"/>
  <c r="M250" i="3"/>
  <c r="G240" i="3"/>
  <c r="I240" i="3"/>
  <c r="I235" i="3" s="1"/>
  <c r="M237" i="3"/>
  <c r="M236" i="3" s="1"/>
  <c r="M262" i="3"/>
  <c r="F261" i="3"/>
  <c r="D249" i="3"/>
  <c r="D248" i="3" s="1"/>
  <c r="H240" i="3"/>
  <c r="H235" i="3" s="1"/>
  <c r="L240" i="3"/>
  <c r="L235" i="3" s="1"/>
  <c r="G235" i="3"/>
  <c r="K235" i="3"/>
  <c r="F240" i="3"/>
  <c r="F236" i="3"/>
  <c r="M241" i="3"/>
  <c r="F260" i="3" l="1"/>
  <c r="F235" i="3"/>
  <c r="M261" i="3"/>
  <c r="M260" i="3" s="1"/>
  <c r="D261" i="3"/>
  <c r="D260" i="3" s="1"/>
  <c r="M249" i="3"/>
  <c r="M248" i="3" s="1"/>
  <c r="M240" i="3"/>
  <c r="D240" i="3"/>
  <c r="M235" i="3"/>
  <c r="D236" i="3"/>
  <c r="D235" i="3" l="1"/>
  <c r="J600" i="2"/>
  <c r="K600" i="2"/>
  <c r="L600" i="2"/>
  <c r="M736" i="2"/>
  <c r="M735" i="2" s="1"/>
  <c r="M734" i="2" s="1"/>
  <c r="D735" i="2"/>
  <c r="D734" i="2" s="1"/>
  <c r="I735" i="2"/>
  <c r="H735" i="2"/>
  <c r="H734" i="2" s="1"/>
  <c r="G735" i="2"/>
  <c r="F735" i="2"/>
  <c r="F734" i="2" s="1"/>
  <c r="I734" i="2"/>
  <c r="G734" i="2"/>
  <c r="L131" i="6" l="1"/>
  <c r="M614" i="2" l="1"/>
  <c r="O125" i="6" l="1"/>
  <c r="O115" i="6"/>
  <c r="O114" i="6" l="1"/>
  <c r="E21" i="8"/>
  <c r="J596" i="2"/>
  <c r="K596" i="2"/>
  <c r="L596" i="2"/>
  <c r="M602" i="2"/>
  <c r="F603" i="2"/>
  <c r="G603" i="2"/>
  <c r="H603" i="2"/>
  <c r="I603" i="2"/>
  <c r="J603" i="2"/>
  <c r="K603" i="2"/>
  <c r="L603" i="2"/>
  <c r="F609" i="2"/>
  <c r="C79" i="1" s="1"/>
  <c r="G609" i="2"/>
  <c r="D79" i="1" s="1"/>
  <c r="H609" i="2"/>
  <c r="E79" i="1" s="1"/>
  <c r="I609" i="2"/>
  <c r="F79" i="1" s="1"/>
  <c r="J609" i="2"/>
  <c r="G79" i="1" s="1"/>
  <c r="K609" i="2"/>
  <c r="H79" i="1" s="1"/>
  <c r="L609" i="2"/>
  <c r="I79" i="1" s="1"/>
  <c r="H612" i="2"/>
  <c r="H611" i="2" s="1"/>
  <c r="I612" i="2"/>
  <c r="I611" i="2" s="1"/>
  <c r="D616" i="2"/>
  <c r="D615" i="2" s="1"/>
  <c r="G612" i="2"/>
  <c r="F616" i="2"/>
  <c r="F615" i="2" s="1"/>
  <c r="G616" i="2"/>
  <c r="G615" i="2" s="1"/>
  <c r="H616" i="2"/>
  <c r="H615" i="2" s="1"/>
  <c r="I616" i="2"/>
  <c r="I615" i="2" s="1"/>
  <c r="J616" i="2"/>
  <c r="J615" i="2" s="1"/>
  <c r="G102" i="1" s="1"/>
  <c r="K616" i="2"/>
  <c r="K615" i="2" s="1"/>
  <c r="H102" i="1" s="1"/>
  <c r="L616" i="2"/>
  <c r="L615" i="2" s="1"/>
  <c r="I102" i="1" s="1"/>
  <c r="D603" i="2"/>
  <c r="M603" i="2" l="1"/>
  <c r="D609" i="2"/>
  <c r="M613" i="2"/>
  <c r="M612" i="2" s="1"/>
  <c r="F612" i="2"/>
  <c r="F404" i="2" l="1"/>
  <c r="D404" i="2" s="1"/>
  <c r="F409" i="2"/>
  <c r="D409" i="2" s="1"/>
  <c r="F402" i="2"/>
  <c r="D402" i="2" s="1"/>
  <c r="I423" i="2"/>
  <c r="G423" i="2"/>
  <c r="F423" i="2"/>
  <c r="G420" i="2"/>
  <c r="F420" i="2"/>
  <c r="D420" i="2" s="1"/>
  <c r="I417" i="2"/>
  <c r="G417" i="2"/>
  <c r="F417" i="2"/>
  <c r="I414" i="2"/>
  <c r="G414" i="2"/>
  <c r="F414" i="2"/>
  <c r="D414" i="2" s="1"/>
  <c r="D423" i="2" l="1"/>
  <c r="D417" i="2"/>
  <c r="F133" i="4" l="1"/>
  <c r="F132" i="4" s="1"/>
  <c r="G133" i="4"/>
  <c r="G132" i="4" s="1"/>
  <c r="H133" i="4"/>
  <c r="H132" i="4" s="1"/>
  <c r="I133" i="4"/>
  <c r="I132" i="4" s="1"/>
  <c r="J133" i="4"/>
  <c r="J132" i="4" s="1"/>
  <c r="K133" i="4"/>
  <c r="K132" i="4" s="1"/>
  <c r="L133" i="4"/>
  <c r="L132" i="4" s="1"/>
  <c r="M135" i="4"/>
  <c r="M133" i="4" l="1"/>
  <c r="M132" i="4" s="1"/>
  <c r="D133" i="4"/>
  <c r="D132" i="4" s="1"/>
  <c r="L86" i="1" l="1"/>
  <c r="M143" i="4"/>
  <c r="G143" i="4"/>
  <c r="H143" i="4"/>
  <c r="J143" i="4"/>
  <c r="K143" i="4"/>
  <c r="L143" i="4"/>
  <c r="K16" i="4" l="1"/>
  <c r="J16" i="4"/>
  <c r="I16" i="4"/>
  <c r="H16" i="4"/>
  <c r="G16" i="4"/>
  <c r="M130" i="4" l="1"/>
  <c r="F12" i="4" l="1"/>
  <c r="L11" i="4"/>
  <c r="K11" i="4"/>
  <c r="J11" i="4"/>
  <c r="I11" i="4"/>
  <c r="H11" i="4"/>
  <c r="G11" i="4"/>
  <c r="L15" i="4"/>
  <c r="K15" i="4"/>
  <c r="J15" i="4"/>
  <c r="I15" i="4"/>
  <c r="H15" i="4"/>
  <c r="G15" i="4"/>
  <c r="F17" i="4"/>
  <c r="H167" i="9" l="1"/>
  <c r="D167" i="9" l="1"/>
  <c r="H12" i="9"/>
  <c r="H11" i="9" s="1"/>
  <c r="H171" i="9"/>
  <c r="H15" i="9" s="1"/>
  <c r="F171" i="9"/>
  <c r="D171" i="9" l="1"/>
  <c r="F15" i="9"/>
  <c r="I34" i="10" l="1"/>
  <c r="J34" i="10"/>
  <c r="I35" i="10"/>
  <c r="J35" i="10"/>
  <c r="J32" i="10"/>
  <c r="J33" i="10"/>
  <c r="G210" i="9" l="1"/>
  <c r="G18" i="10" l="1"/>
  <c r="H18" i="10"/>
  <c r="I18" i="10"/>
  <c r="J18" i="10"/>
  <c r="G17" i="10"/>
  <c r="H17" i="10"/>
  <c r="I17" i="10"/>
  <c r="J17" i="10"/>
  <c r="F233" i="3" l="1"/>
  <c r="D233" i="3" s="1"/>
  <c r="F228" i="3"/>
  <c r="D228" i="3" s="1"/>
  <c r="F225" i="3"/>
  <c r="D225" i="3" s="1"/>
  <c r="G221" i="3"/>
  <c r="G216" i="3"/>
  <c r="G213" i="3"/>
  <c r="F221" i="3"/>
  <c r="D221" i="3" s="1"/>
  <c r="F216" i="3"/>
  <c r="D216" i="3" s="1"/>
  <c r="F213" i="3"/>
  <c r="D213" i="3" s="1"/>
  <c r="J14" i="9" l="1"/>
  <c r="D212" i="9"/>
  <c r="D215" i="9"/>
  <c r="D214" i="9" s="1"/>
  <c r="M202" i="9"/>
  <c r="M201" i="9" s="1"/>
  <c r="M204" i="9"/>
  <c r="M203" i="9" s="1"/>
  <c r="D201" i="9"/>
  <c r="G201" i="9"/>
  <c r="H201" i="9"/>
  <c r="F201" i="9"/>
  <c r="D203" i="9"/>
  <c r="G203" i="9"/>
  <c r="H203" i="9"/>
  <c r="F203" i="9"/>
  <c r="G206" i="9"/>
  <c r="H206" i="9"/>
  <c r="F206" i="9"/>
  <c r="D206" i="9"/>
  <c r="D205" i="9" s="1"/>
  <c r="M211" i="9"/>
  <c r="M210" i="9" s="1"/>
  <c r="M213" i="9"/>
  <c r="M212" i="9" s="1"/>
  <c r="H210" i="9"/>
  <c r="I210" i="9"/>
  <c r="F210" i="9"/>
  <c r="D210" i="9"/>
  <c r="G212" i="9"/>
  <c r="H212" i="9"/>
  <c r="I212" i="9"/>
  <c r="F212" i="9"/>
  <c r="G215" i="9"/>
  <c r="H215" i="9"/>
  <c r="I215" i="9"/>
  <c r="F215" i="9"/>
  <c r="G58" i="13"/>
  <c r="G511" i="2"/>
  <c r="G430" i="2" s="1"/>
  <c r="H511" i="2"/>
  <c r="H430" i="2" s="1"/>
  <c r="J31" i="2"/>
  <c r="J21" i="3"/>
  <c r="I31" i="2"/>
  <c r="K31" i="2"/>
  <c r="K21" i="3"/>
  <c r="L31" i="2"/>
  <c r="L21" i="3"/>
  <c r="J15" i="3"/>
  <c r="K15" i="3"/>
  <c r="L430" i="2"/>
  <c r="L15" i="3"/>
  <c r="J19" i="3"/>
  <c r="F19" i="3"/>
  <c r="F18" i="3" s="1"/>
  <c r="G19" i="3"/>
  <c r="H19" i="3"/>
  <c r="H18" i="3" s="1"/>
  <c r="I19" i="3"/>
  <c r="K19" i="3"/>
  <c r="K18" i="3" s="1"/>
  <c r="L19" i="3"/>
  <c r="F13" i="3"/>
  <c r="G13" i="3"/>
  <c r="H13" i="3"/>
  <c r="I13" i="3"/>
  <c r="J13" i="3"/>
  <c r="K13" i="3"/>
  <c r="L13" i="3"/>
  <c r="G244" i="6"/>
  <c r="F244" i="6"/>
  <c r="G242" i="6"/>
  <c r="F242" i="6"/>
  <c r="G239" i="6"/>
  <c r="F239" i="6"/>
  <c r="G236" i="6"/>
  <c r="G15" i="6" s="1"/>
  <c r="F236" i="6"/>
  <c r="G235" i="6"/>
  <c r="F235" i="6"/>
  <c r="D235" i="6" s="1"/>
  <c r="L156" i="6"/>
  <c r="K156" i="6"/>
  <c r="J156" i="6"/>
  <c r="G148" i="6"/>
  <c r="M148" i="6" s="1"/>
  <c r="F148" i="6"/>
  <c r="L143" i="6"/>
  <c r="L140" i="6" s="1"/>
  <c r="K143" i="6"/>
  <c r="J143" i="6"/>
  <c r="J140" i="6" s="1"/>
  <c r="I143" i="6"/>
  <c r="H143" i="6"/>
  <c r="H140" i="6" s="1"/>
  <c r="G143" i="6"/>
  <c r="F143" i="6"/>
  <c r="L153" i="6"/>
  <c r="K153" i="6"/>
  <c r="J153" i="6"/>
  <c r="I153" i="6"/>
  <c r="H153" i="6"/>
  <c r="G153" i="6"/>
  <c r="F153" i="6"/>
  <c r="M153" i="6" s="1"/>
  <c r="F152" i="6"/>
  <c r="M152" i="6" s="1"/>
  <c r="M151" i="6"/>
  <c r="F142" i="6"/>
  <c r="K137" i="6"/>
  <c r="J137" i="6"/>
  <c r="J136" i="6" s="1"/>
  <c r="J135" i="6" s="1"/>
  <c r="I137" i="6"/>
  <c r="H136" i="6"/>
  <c r="H135" i="6" s="1"/>
  <c r="F136" i="6"/>
  <c r="F135" i="6" s="1"/>
  <c r="L134" i="6"/>
  <c r="K134" i="6"/>
  <c r="J134" i="6"/>
  <c r="I134" i="6"/>
  <c r="H134" i="6"/>
  <c r="G134" i="6"/>
  <c r="M134" i="6" s="1"/>
  <c r="G133" i="6"/>
  <c r="M133" i="6" s="1"/>
  <c r="M132" i="6"/>
  <c r="K131" i="6"/>
  <c r="J131" i="6"/>
  <c r="I131" i="6"/>
  <c r="H131" i="6"/>
  <c r="G131" i="6"/>
  <c r="L130" i="6"/>
  <c r="K130" i="6"/>
  <c r="J130" i="6"/>
  <c r="I130" i="6"/>
  <c r="H130" i="6"/>
  <c r="G130" i="6"/>
  <c r="L129" i="6"/>
  <c r="K129" i="6"/>
  <c r="J129" i="6"/>
  <c r="I129" i="6"/>
  <c r="H129" i="6"/>
  <c r="K128" i="6"/>
  <c r="J128" i="6"/>
  <c r="I128" i="6"/>
  <c r="H128" i="6"/>
  <c r="M128" i="6" s="1"/>
  <c r="L124" i="6"/>
  <c r="K124" i="6"/>
  <c r="J124" i="6"/>
  <c r="J17" i="6" s="1"/>
  <c r="G25" i="1" s="1"/>
  <c r="I124" i="6"/>
  <c r="H124" i="6"/>
  <c r="H17" i="6" s="1"/>
  <c r="G124" i="6"/>
  <c r="G123" i="6"/>
  <c r="J120" i="6"/>
  <c r="I120" i="6"/>
  <c r="H120" i="6"/>
  <c r="G120" i="6"/>
  <c r="I118" i="6"/>
  <c r="D118" i="6" s="1"/>
  <c r="G83" i="8"/>
  <c r="F67" i="5"/>
  <c r="D67" i="5" s="1"/>
  <c r="F70" i="5"/>
  <c r="D70" i="5" s="1"/>
  <c r="F35" i="5"/>
  <c r="D35" i="5" s="1"/>
  <c r="F37" i="5"/>
  <c r="D37" i="5" s="1"/>
  <c r="G42" i="5"/>
  <c r="F42" i="5"/>
  <c r="D42" i="5" s="1"/>
  <c r="F39" i="3"/>
  <c r="G33" i="3"/>
  <c r="G32" i="3" s="1"/>
  <c r="H33" i="3"/>
  <c r="I33" i="3"/>
  <c r="H21" i="3"/>
  <c r="F48" i="3"/>
  <c r="J184" i="9"/>
  <c r="K184" i="9"/>
  <c r="L184" i="9"/>
  <c r="I181" i="9"/>
  <c r="J181" i="9"/>
  <c r="K181" i="9"/>
  <c r="L181" i="9"/>
  <c r="I179" i="9"/>
  <c r="J179" i="9"/>
  <c r="K179" i="9"/>
  <c r="L179" i="9"/>
  <c r="H179" i="9"/>
  <c r="E68" i="9"/>
  <c r="E67" i="9" s="1"/>
  <c r="E34" i="9"/>
  <c r="E36" i="9"/>
  <c r="E93" i="9"/>
  <c r="F67" i="9"/>
  <c r="F34" i="9"/>
  <c r="F36" i="9"/>
  <c r="F90" i="9"/>
  <c r="F136" i="9"/>
  <c r="F102" i="9"/>
  <c r="F109" i="9"/>
  <c r="F157" i="9"/>
  <c r="F127" i="9"/>
  <c r="F129" i="9"/>
  <c r="F179" i="9"/>
  <c r="F181" i="9"/>
  <c r="G67" i="9"/>
  <c r="G34" i="9"/>
  <c r="G36" i="9"/>
  <c r="G90" i="9"/>
  <c r="G138" i="9"/>
  <c r="G136" i="9"/>
  <c r="G100" i="9"/>
  <c r="G102" i="9"/>
  <c r="G11" i="9"/>
  <c r="G157" i="9"/>
  <c r="G127" i="9"/>
  <c r="G129" i="9"/>
  <c r="G179" i="9"/>
  <c r="G181" i="9"/>
  <c r="H181" i="9"/>
  <c r="H67" i="9"/>
  <c r="H34" i="9"/>
  <c r="H36" i="9"/>
  <c r="H90" i="9"/>
  <c r="H138" i="9"/>
  <c r="H136" i="9"/>
  <c r="H99" i="9"/>
  <c r="H153" i="9"/>
  <c r="I178" i="9"/>
  <c r="I67" i="9"/>
  <c r="I34" i="9"/>
  <c r="I36" i="9"/>
  <c r="I90" i="9"/>
  <c r="I138" i="9"/>
  <c r="I136" i="9"/>
  <c r="I153" i="9"/>
  <c r="J67" i="9"/>
  <c r="J34" i="9"/>
  <c r="J36" i="9"/>
  <c r="J90" i="9"/>
  <c r="J138" i="9"/>
  <c r="J135" i="9" s="1"/>
  <c r="J153" i="9"/>
  <c r="K178" i="9"/>
  <c r="K67" i="9"/>
  <c r="K34" i="9"/>
  <c r="K36" i="9"/>
  <c r="K90" i="9"/>
  <c r="K138" i="9"/>
  <c r="K135" i="9" s="1"/>
  <c r="K153" i="9"/>
  <c r="L67" i="9"/>
  <c r="L34" i="9"/>
  <c r="L36" i="9"/>
  <c r="L90" i="9"/>
  <c r="L138" i="9"/>
  <c r="L135" i="9" s="1"/>
  <c r="L153" i="9"/>
  <c r="E52" i="9"/>
  <c r="E51" i="9" s="1"/>
  <c r="E75" i="9"/>
  <c r="E74" i="9" s="1"/>
  <c r="E25" i="9"/>
  <c r="E27" i="9"/>
  <c r="E43" i="9"/>
  <c r="E45" i="9"/>
  <c r="E61" i="9"/>
  <c r="E58" i="9" s="1"/>
  <c r="E82" i="9"/>
  <c r="E84" i="9"/>
  <c r="F52" i="9"/>
  <c r="F51" i="9" s="1"/>
  <c r="F74" i="9"/>
  <c r="F25" i="9"/>
  <c r="F27" i="9"/>
  <c r="F43" i="9"/>
  <c r="F45" i="9"/>
  <c r="F61" i="9"/>
  <c r="F58" i="9" s="1"/>
  <c r="F81" i="9"/>
  <c r="F144" i="9"/>
  <c r="F166" i="9"/>
  <c r="F170" i="9"/>
  <c r="F188" i="9"/>
  <c r="F192" i="9"/>
  <c r="G52" i="9"/>
  <c r="G51" i="9" s="1"/>
  <c r="G74" i="9"/>
  <c r="G150" i="9"/>
  <c r="G145" i="9"/>
  <c r="G25" i="9"/>
  <c r="G27" i="9"/>
  <c r="G43" i="9"/>
  <c r="G45" i="9"/>
  <c r="G61" i="9"/>
  <c r="G58" i="9" s="1"/>
  <c r="G81" i="9"/>
  <c r="G166" i="9"/>
  <c r="G170" i="9"/>
  <c r="G188" i="9"/>
  <c r="G192" i="9"/>
  <c r="H52" i="9"/>
  <c r="H51" i="9" s="1"/>
  <c r="H74" i="9"/>
  <c r="H25" i="9"/>
  <c r="H27" i="9"/>
  <c r="H43" i="9"/>
  <c r="H45" i="9"/>
  <c r="H61" i="9"/>
  <c r="H58" i="9" s="1"/>
  <c r="H81" i="9"/>
  <c r="H144" i="9"/>
  <c r="H166" i="9"/>
  <c r="H170" i="9"/>
  <c r="H188" i="9"/>
  <c r="H192" i="9"/>
  <c r="I52" i="9"/>
  <c r="I51" i="9" s="1"/>
  <c r="I74" i="9"/>
  <c r="I25" i="9"/>
  <c r="I27" i="9"/>
  <c r="I43" i="9"/>
  <c r="I45" i="9"/>
  <c r="I61" i="9"/>
  <c r="I58" i="9" s="1"/>
  <c r="I81" i="9"/>
  <c r="I144" i="9"/>
  <c r="I165" i="9"/>
  <c r="I187" i="9"/>
  <c r="J51" i="9"/>
  <c r="J74" i="9"/>
  <c r="J25" i="9"/>
  <c r="J27" i="9"/>
  <c r="J43" i="9"/>
  <c r="J45" i="9"/>
  <c r="J61" i="9"/>
  <c r="J58" i="9" s="1"/>
  <c r="J81" i="9"/>
  <c r="J144" i="9"/>
  <c r="J165" i="9"/>
  <c r="J187" i="9"/>
  <c r="K74" i="9"/>
  <c r="K25" i="9"/>
  <c r="K27" i="9"/>
  <c r="K43" i="9"/>
  <c r="K45" i="9"/>
  <c r="K51" i="9"/>
  <c r="K61" i="9"/>
  <c r="K58" i="9" s="1"/>
  <c r="K81" i="9"/>
  <c r="K144" i="9"/>
  <c r="K165" i="9"/>
  <c r="K187" i="9"/>
  <c r="L74" i="9"/>
  <c r="L25" i="9"/>
  <c r="L27" i="9"/>
  <c r="L43" i="9"/>
  <c r="L45" i="9"/>
  <c r="L51" i="9"/>
  <c r="L61" i="9"/>
  <c r="L58" i="9" s="1"/>
  <c r="L81" i="9"/>
  <c r="L144" i="9"/>
  <c r="L165" i="9"/>
  <c r="L187" i="9"/>
  <c r="D102" i="9"/>
  <c r="D154" i="9"/>
  <c r="D179" i="9"/>
  <c r="D145" i="9"/>
  <c r="D166" i="9"/>
  <c r="D192" i="9"/>
  <c r="D105" i="9"/>
  <c r="D104" i="9" s="1"/>
  <c r="L14" i="9"/>
  <c r="G161" i="3"/>
  <c r="G22" i="3" s="1"/>
  <c r="G156" i="3"/>
  <c r="G153" i="3"/>
  <c r="F161" i="3"/>
  <c r="F156" i="3"/>
  <c r="D156" i="3" s="1"/>
  <c r="F153" i="3"/>
  <c r="F20" i="7"/>
  <c r="G20" i="7"/>
  <c r="H20" i="7"/>
  <c r="I20" i="7"/>
  <c r="J20" i="7"/>
  <c r="K20" i="7"/>
  <c r="L20" i="7"/>
  <c r="F15" i="7"/>
  <c r="G15" i="7"/>
  <c r="H15" i="7"/>
  <c r="I15" i="7"/>
  <c r="J15" i="7"/>
  <c r="K15" i="7"/>
  <c r="L15" i="7"/>
  <c r="L13" i="7"/>
  <c r="D100" i="7"/>
  <c r="K100" i="7"/>
  <c r="J100" i="7"/>
  <c r="I100" i="7"/>
  <c r="H100" i="7"/>
  <c r="G100" i="7"/>
  <c r="F100" i="7"/>
  <c r="D98" i="7"/>
  <c r="K98" i="7"/>
  <c r="J98" i="7"/>
  <c r="I98" i="7"/>
  <c r="H98" i="7"/>
  <c r="G98" i="7"/>
  <c r="F98" i="7"/>
  <c r="D95" i="7"/>
  <c r="M95" i="7"/>
  <c r="K95" i="7"/>
  <c r="J95" i="7"/>
  <c r="I95" i="7"/>
  <c r="H95" i="7"/>
  <c r="G95" i="7"/>
  <c r="F95" i="7"/>
  <c r="M94" i="7"/>
  <c r="M92" i="7" s="1"/>
  <c r="M91" i="7" s="1"/>
  <c r="K92" i="7"/>
  <c r="J92" i="7"/>
  <c r="I92" i="7"/>
  <c r="H92" i="7"/>
  <c r="G92" i="7"/>
  <c r="F92" i="7"/>
  <c r="G91" i="7"/>
  <c r="K34" i="7"/>
  <c r="D34" i="7" s="1"/>
  <c r="L197" i="9"/>
  <c r="K197" i="9"/>
  <c r="J197" i="9"/>
  <c r="I197" i="9"/>
  <c r="H197" i="9"/>
  <c r="G197" i="9"/>
  <c r="F197" i="9"/>
  <c r="M193" i="9"/>
  <c r="M192" i="9" s="1"/>
  <c r="M189" i="9"/>
  <c r="M188" i="9" s="1"/>
  <c r="F184" i="9"/>
  <c r="G184" i="9"/>
  <c r="H184" i="9"/>
  <c r="I184" i="9"/>
  <c r="F175" i="9"/>
  <c r="G175" i="9"/>
  <c r="H175" i="9"/>
  <c r="I175" i="9"/>
  <c r="J175" i="9"/>
  <c r="K175" i="9"/>
  <c r="L175" i="9"/>
  <c r="M182" i="9"/>
  <c r="M181" i="9" s="1"/>
  <c r="M180" i="9"/>
  <c r="M179" i="9" s="1"/>
  <c r="M171" i="9"/>
  <c r="M170" i="9" s="1"/>
  <c r="M167" i="9"/>
  <c r="M166" i="9" s="1"/>
  <c r="F65" i="13"/>
  <c r="F64" i="13"/>
  <c r="F58" i="13"/>
  <c r="F59" i="13"/>
  <c r="F196" i="6"/>
  <c r="F203" i="6"/>
  <c r="G220" i="6"/>
  <c r="I223" i="6"/>
  <c r="H223" i="6"/>
  <c r="G224" i="6"/>
  <c r="G227" i="6"/>
  <c r="I230" i="6"/>
  <c r="H230" i="6"/>
  <c r="G231" i="6"/>
  <c r="H517" i="2"/>
  <c r="H435" i="2" s="1"/>
  <c r="H508" i="2"/>
  <c r="G508" i="2"/>
  <c r="G509" i="2"/>
  <c r="F514" i="2"/>
  <c r="F513" i="2"/>
  <c r="M513" i="2" s="1"/>
  <c r="F508" i="2"/>
  <c r="M508" i="2" s="1"/>
  <c r="F509" i="2"/>
  <c r="D509" i="2"/>
  <c r="I516" i="2"/>
  <c r="I515" i="2" s="1"/>
  <c r="G517" i="2"/>
  <c r="G435" i="2" s="1"/>
  <c r="F517" i="2"/>
  <c r="F408" i="2"/>
  <c r="F406" i="2"/>
  <c r="F403" i="2"/>
  <c r="F400" i="2"/>
  <c r="G419" i="2"/>
  <c r="F132" i="9"/>
  <c r="G132" i="9"/>
  <c r="H132" i="9"/>
  <c r="I258" i="9"/>
  <c r="J258" i="9"/>
  <c r="K258" i="9"/>
  <c r="L258" i="9"/>
  <c r="E258" i="9"/>
  <c r="F258" i="9"/>
  <c r="G258" i="9"/>
  <c r="H258" i="9"/>
  <c r="M271" i="9"/>
  <c r="D258" i="9"/>
  <c r="M270" i="9"/>
  <c r="M269" i="9" s="1"/>
  <c r="L270" i="9"/>
  <c r="K270" i="9"/>
  <c r="J270" i="9"/>
  <c r="I270" i="9"/>
  <c r="H270" i="9"/>
  <c r="G270" i="9"/>
  <c r="F270" i="9"/>
  <c r="D270" i="9"/>
  <c r="L269" i="9"/>
  <c r="K269" i="9"/>
  <c r="J269" i="9"/>
  <c r="I269" i="9"/>
  <c r="H269" i="9"/>
  <c r="G269" i="9"/>
  <c r="F269" i="9"/>
  <c r="D269" i="9"/>
  <c r="M128" i="9"/>
  <c r="M127" i="9" s="1"/>
  <c r="M130" i="9"/>
  <c r="M129" i="9" s="1"/>
  <c r="J10" i="2"/>
  <c r="K10" i="2"/>
  <c r="L10" i="2"/>
  <c r="D325" i="2"/>
  <c r="G51" i="2"/>
  <c r="G32" i="2" s="1"/>
  <c r="H51" i="2"/>
  <c r="H32" i="2" s="1"/>
  <c r="I51" i="2"/>
  <c r="J51" i="2"/>
  <c r="K51" i="2"/>
  <c r="L51" i="2"/>
  <c r="L32" i="2" s="1"/>
  <c r="F45" i="2"/>
  <c r="G45" i="2"/>
  <c r="H45" i="2"/>
  <c r="I45" i="2"/>
  <c r="J45" i="2"/>
  <c r="K45" i="2"/>
  <c r="L45" i="2"/>
  <c r="G42" i="2"/>
  <c r="H42" i="2"/>
  <c r="I42" i="2"/>
  <c r="I41" i="2" s="1"/>
  <c r="J42" i="2"/>
  <c r="K42" i="2"/>
  <c r="L42" i="2"/>
  <c r="F38" i="2"/>
  <c r="G38" i="2"/>
  <c r="H38" i="2"/>
  <c r="I38" i="2"/>
  <c r="J38" i="2"/>
  <c r="J15" i="2" s="1"/>
  <c r="G21" i="1" s="1"/>
  <c r="K38" i="2"/>
  <c r="L38" i="2"/>
  <c r="H37" i="2"/>
  <c r="I37" i="2"/>
  <c r="J37" i="2"/>
  <c r="K37" i="2"/>
  <c r="L37" i="2"/>
  <c r="D372" i="2"/>
  <c r="G372" i="2"/>
  <c r="F372" i="2"/>
  <c r="D370" i="2"/>
  <c r="G370" i="2"/>
  <c r="F370" i="2"/>
  <c r="F369" i="2" s="1"/>
  <c r="M368" i="2"/>
  <c r="M367" i="2" s="1"/>
  <c r="D367" i="2"/>
  <c r="G367" i="2"/>
  <c r="F367" i="2"/>
  <c r="M366" i="2"/>
  <c r="M365" i="2"/>
  <c r="M364" i="2" s="1"/>
  <c r="G364" i="2"/>
  <c r="F364" i="2"/>
  <c r="D360" i="2"/>
  <c r="G360" i="2"/>
  <c r="F360" i="2"/>
  <c r="D358" i="2"/>
  <c r="G358" i="2"/>
  <c r="F358" i="2"/>
  <c r="M356" i="2"/>
  <c r="M355" i="2" s="1"/>
  <c r="G355" i="2"/>
  <c r="F355" i="2"/>
  <c r="D355" i="2"/>
  <c r="M354" i="2"/>
  <c r="M353" i="2"/>
  <c r="M352" i="2" s="1"/>
  <c r="G352" i="2"/>
  <c r="F352" i="2"/>
  <c r="D348" i="2"/>
  <c r="G348" i="2"/>
  <c r="F348" i="2"/>
  <c r="G346" i="2"/>
  <c r="F346" i="2"/>
  <c r="M344" i="2"/>
  <c r="M343" i="2" s="1"/>
  <c r="D343" i="2"/>
  <c r="G343" i="2"/>
  <c r="F343" i="2"/>
  <c r="M342" i="2"/>
  <c r="M341" i="2"/>
  <c r="M340" i="2" s="1"/>
  <c r="G340" i="2"/>
  <c r="F340" i="2"/>
  <c r="G336" i="2"/>
  <c r="G334" i="2"/>
  <c r="G328" i="2"/>
  <c r="F331" i="2"/>
  <c r="G331" i="2"/>
  <c r="D329" i="2"/>
  <c r="D336" i="2"/>
  <c r="D331" i="2"/>
  <c r="F336" i="2"/>
  <c r="D334" i="2"/>
  <c r="F334" i="2"/>
  <c r="M332" i="2"/>
  <c r="M331" i="2" s="1"/>
  <c r="M330" i="2"/>
  <c r="F114" i="2"/>
  <c r="D114" i="2" s="1"/>
  <c r="D346" i="2"/>
  <c r="D340" i="2"/>
  <c r="M206" i="8"/>
  <c r="M205" i="8" s="1"/>
  <c r="M204" i="8" s="1"/>
  <c r="E179" i="8"/>
  <c r="F179" i="8"/>
  <c r="G179" i="8"/>
  <c r="H179" i="8"/>
  <c r="I179" i="8"/>
  <c r="J179" i="8"/>
  <c r="K179" i="8"/>
  <c r="L179" i="8"/>
  <c r="D183" i="8"/>
  <c r="E193" i="8"/>
  <c r="B79" i="1" s="1"/>
  <c r="J79" i="1" s="1"/>
  <c r="E192" i="8"/>
  <c r="F192" i="8"/>
  <c r="G192" i="8"/>
  <c r="G189" i="8" s="1"/>
  <c r="G188" i="8" s="1"/>
  <c r="H192" i="8"/>
  <c r="H189" i="8" s="1"/>
  <c r="H188" i="8" s="1"/>
  <c r="I192" i="8"/>
  <c r="I189" i="8"/>
  <c r="I188" i="8" s="1"/>
  <c r="J192" i="8"/>
  <c r="K192" i="8"/>
  <c r="K189" i="8" s="1"/>
  <c r="K188" i="8" s="1"/>
  <c r="L192" i="8"/>
  <c r="E186" i="8"/>
  <c r="F186" i="8"/>
  <c r="G186" i="8"/>
  <c r="H186" i="8"/>
  <c r="I186" i="8"/>
  <c r="J186" i="8"/>
  <c r="K186" i="8"/>
  <c r="L186" i="8"/>
  <c r="F189" i="8"/>
  <c r="F188" i="8" s="1"/>
  <c r="J189" i="8"/>
  <c r="J188" i="8" s="1"/>
  <c r="L189" i="8"/>
  <c r="L188" i="8" s="1"/>
  <c r="M197" i="8"/>
  <c r="D186" i="8"/>
  <c r="F200" i="8"/>
  <c r="F199" i="8" s="1"/>
  <c r="G200" i="8"/>
  <c r="G199" i="8" s="1"/>
  <c r="H200" i="8"/>
  <c r="H199" i="8" s="1"/>
  <c r="I200" i="8"/>
  <c r="I199" i="8" s="1"/>
  <c r="J200" i="8"/>
  <c r="J199" i="8" s="1"/>
  <c r="K200" i="8"/>
  <c r="K199" i="8" s="1"/>
  <c r="L200" i="8"/>
  <c r="L199" i="8" s="1"/>
  <c r="F196" i="8"/>
  <c r="F195" i="8" s="1"/>
  <c r="F180" i="8" s="1"/>
  <c r="G196" i="8"/>
  <c r="G195" i="8" s="1"/>
  <c r="G180" i="8" s="1"/>
  <c r="H196" i="8"/>
  <c r="H195" i="8" s="1"/>
  <c r="H180" i="8" s="1"/>
  <c r="I196" i="8"/>
  <c r="I195" i="8" s="1"/>
  <c r="I180" i="8" s="1"/>
  <c r="J196" i="8"/>
  <c r="J195" i="8" s="1"/>
  <c r="J180" i="8" s="1"/>
  <c r="K196" i="8"/>
  <c r="K195" i="8" s="1"/>
  <c r="K180" i="8" s="1"/>
  <c r="L196" i="8"/>
  <c r="L195" i="8" s="1"/>
  <c r="L180" i="8" s="1"/>
  <c r="D192" i="8"/>
  <c r="L183" i="8"/>
  <c r="L182" i="8" s="1"/>
  <c r="L181" i="8" s="1"/>
  <c r="H183" i="8"/>
  <c r="H182" i="8" s="1"/>
  <c r="H181" i="8" s="1"/>
  <c r="D179" i="8"/>
  <c r="J183" i="8"/>
  <c r="J182" i="8" s="1"/>
  <c r="J181" i="8" s="1"/>
  <c r="F183" i="8"/>
  <c r="F182" i="8" s="1"/>
  <c r="F181" i="8" s="1"/>
  <c r="E183" i="8"/>
  <c r="K183" i="8"/>
  <c r="K182" i="8" s="1"/>
  <c r="K181" i="8" s="1"/>
  <c r="I183" i="8"/>
  <c r="I182" i="8" s="1"/>
  <c r="I181" i="8" s="1"/>
  <c r="G183" i="8"/>
  <c r="G182" i="8"/>
  <c r="G181" i="8" s="1"/>
  <c r="M186" i="8"/>
  <c r="C72" i="1"/>
  <c r="H72" i="1"/>
  <c r="F72" i="1"/>
  <c r="D72" i="1"/>
  <c r="I72" i="1"/>
  <c r="G72" i="1"/>
  <c r="E72" i="1"/>
  <c r="M92" i="4"/>
  <c r="M90" i="4" s="1"/>
  <c r="M89" i="4" s="1"/>
  <c r="G148" i="8"/>
  <c r="G145" i="8"/>
  <c r="G142" i="8"/>
  <c r="G140" i="8"/>
  <c r="J32" i="3"/>
  <c r="J31" i="3" s="1"/>
  <c r="M213" i="3"/>
  <c r="F47" i="3"/>
  <c r="F44" i="3" s="1"/>
  <c r="H47" i="3"/>
  <c r="J47" i="3"/>
  <c r="G160" i="3"/>
  <c r="F155" i="3"/>
  <c r="G152" i="3"/>
  <c r="G155" i="3"/>
  <c r="B152" i="1"/>
  <c r="B167" i="1"/>
  <c r="M35" i="3"/>
  <c r="M60" i="13"/>
  <c r="M514" i="2"/>
  <c r="M509" i="2"/>
  <c r="M34" i="7"/>
  <c r="M24" i="7"/>
  <c r="D254" i="6"/>
  <c r="D278" i="6"/>
  <c r="D249" i="6"/>
  <c r="D28" i="6"/>
  <c r="D67" i="13"/>
  <c r="O31" i="13"/>
  <c r="D90" i="4"/>
  <c r="D89" i="4" s="1"/>
  <c r="D164" i="3"/>
  <c r="D727" i="2"/>
  <c r="D428" i="2"/>
  <c r="D406" i="2"/>
  <c r="M128" i="4"/>
  <c r="M127" i="4" s="1"/>
  <c r="M96" i="13"/>
  <c r="M29" i="13"/>
  <c r="M28" i="13" s="1"/>
  <c r="M25" i="13" s="1"/>
  <c r="M27" i="13"/>
  <c r="M158" i="9"/>
  <c r="M155" i="9"/>
  <c r="M148" i="9"/>
  <c r="M146" i="9"/>
  <c r="M145" i="9" s="1"/>
  <c r="M137" i="9"/>
  <c r="M103" i="9"/>
  <c r="M94" i="9"/>
  <c r="M92" i="9"/>
  <c r="M85" i="9"/>
  <c r="M83" i="9"/>
  <c r="M72" i="8"/>
  <c r="M71" i="8" s="1"/>
  <c r="M70" i="8"/>
  <c r="M280" i="6"/>
  <c r="M279" i="6"/>
  <c r="M271" i="6"/>
  <c r="M250" i="6"/>
  <c r="M248" i="6"/>
  <c r="M149" i="6"/>
  <c r="M131" i="6"/>
  <c r="M121" i="6"/>
  <c r="M119" i="6"/>
  <c r="M118" i="6"/>
  <c r="M98" i="6"/>
  <c r="M96" i="6"/>
  <c r="M87" i="6"/>
  <c r="M85" i="6"/>
  <c r="M76" i="6"/>
  <c r="M74" i="6"/>
  <c r="M73" i="6" s="1"/>
  <c r="M31" i="6"/>
  <c r="M29" i="6"/>
  <c r="M28" i="6" s="1"/>
  <c r="M67" i="5"/>
  <c r="M60" i="5"/>
  <c r="M53" i="5"/>
  <c r="M37" i="5"/>
  <c r="M35" i="5"/>
  <c r="F15" i="5"/>
  <c r="M12" i="5"/>
  <c r="M125" i="4"/>
  <c r="M108" i="4"/>
  <c r="M107" i="4"/>
  <c r="M97" i="4"/>
  <c r="M87" i="4"/>
  <c r="M82" i="4"/>
  <c r="M80" i="4" s="1"/>
  <c r="M79" i="4" s="1"/>
  <c r="M70" i="4"/>
  <c r="M69" i="4"/>
  <c r="M68" i="4" s="1"/>
  <c r="M67" i="4" s="1"/>
  <c r="M59" i="4"/>
  <c r="M58" i="4"/>
  <c r="M57" i="4"/>
  <c r="M45" i="4"/>
  <c r="M44" i="4"/>
  <c r="M228" i="3"/>
  <c r="M225" i="3"/>
  <c r="M216" i="3"/>
  <c r="M215" i="3" s="1"/>
  <c r="M168" i="3"/>
  <c r="M165" i="3"/>
  <c r="M156" i="3"/>
  <c r="M155" i="3" s="1"/>
  <c r="M728" i="2"/>
  <c r="M727" i="2" s="1"/>
  <c r="M708" i="2"/>
  <c r="M704" i="2"/>
  <c r="M697" i="2"/>
  <c r="M696" i="2"/>
  <c r="M689" i="2"/>
  <c r="M676" i="2"/>
  <c r="M664" i="2"/>
  <c r="M649" i="2"/>
  <c r="M637" i="2"/>
  <c r="M626" i="2"/>
  <c r="M625" i="2"/>
  <c r="M499" i="2"/>
  <c r="M497" i="2"/>
  <c r="M490" i="2"/>
  <c r="M488" i="2"/>
  <c r="M459" i="2"/>
  <c r="M404" i="2"/>
  <c r="M402" i="2"/>
  <c r="M392" i="2"/>
  <c r="M380" i="2"/>
  <c r="M329" i="2"/>
  <c r="M328" i="2" s="1"/>
  <c r="M255" i="2"/>
  <c r="M244" i="2"/>
  <c r="M242" i="2"/>
  <c r="M241" i="2"/>
  <c r="M230" i="2"/>
  <c r="M226" i="2"/>
  <c r="M193" i="2"/>
  <c r="M191" i="2"/>
  <c r="M182" i="2"/>
  <c r="M180" i="2"/>
  <c r="M172" i="2"/>
  <c r="M179" i="2"/>
  <c r="M170" i="2"/>
  <c r="M161" i="2"/>
  <c r="M159" i="2"/>
  <c r="M150" i="2"/>
  <c r="M148" i="2"/>
  <c r="M147" i="2"/>
  <c r="M146" i="2" s="1"/>
  <c r="M117" i="2"/>
  <c r="M115" i="2"/>
  <c r="M104" i="2"/>
  <c r="M101" i="2"/>
  <c r="M88" i="2"/>
  <c r="M85" i="2"/>
  <c r="M84" i="2"/>
  <c r="M83" i="2"/>
  <c r="F28" i="6"/>
  <c r="G28" i="6"/>
  <c r="H28" i="6"/>
  <c r="I28" i="6"/>
  <c r="J28" i="6"/>
  <c r="K28" i="6"/>
  <c r="H160" i="6"/>
  <c r="F65" i="3"/>
  <c r="D65" i="3" s="1"/>
  <c r="M101" i="9"/>
  <c r="M100" i="9" s="1"/>
  <c r="F648" i="2"/>
  <c r="F647" i="2" s="1"/>
  <c r="G37" i="2"/>
  <c r="M481" i="2"/>
  <c r="M480" i="2" s="1"/>
  <c r="M479" i="2"/>
  <c r="M478" i="2" s="1"/>
  <c r="M451" i="2"/>
  <c r="F225" i="2"/>
  <c r="F224" i="2" s="1"/>
  <c r="M114" i="2"/>
  <c r="M253" i="2"/>
  <c r="M272" i="2"/>
  <c r="M271" i="2" s="1"/>
  <c r="M100" i="2"/>
  <c r="M377" i="2"/>
  <c r="D719" i="2"/>
  <c r="M720" i="2"/>
  <c r="F38" i="13"/>
  <c r="F36" i="13"/>
  <c r="D36" i="13" s="1"/>
  <c r="J30" i="6"/>
  <c r="K30" i="6"/>
  <c r="J36" i="6"/>
  <c r="J35" i="6" s="1"/>
  <c r="K36" i="6"/>
  <c r="K35" i="6" s="1"/>
  <c r="I31" i="10" s="1"/>
  <c r="L36" i="6"/>
  <c r="L35" i="6" s="1"/>
  <c r="J31" i="10" s="1"/>
  <c r="F192" i="6"/>
  <c r="F197" i="6"/>
  <c r="F165" i="6" s="1"/>
  <c r="F204" i="6"/>
  <c r="H263" i="6"/>
  <c r="I81" i="1"/>
  <c r="G81" i="1"/>
  <c r="H81" i="1"/>
  <c r="F270" i="6"/>
  <c r="F269" i="6" s="1"/>
  <c r="F172" i="3"/>
  <c r="F167" i="3"/>
  <c r="F164" i="3"/>
  <c r="H160" i="3"/>
  <c r="I160" i="3"/>
  <c r="I157" i="3" s="1"/>
  <c r="H155" i="3"/>
  <c r="I155" i="3"/>
  <c r="H152" i="3"/>
  <c r="I152" i="3"/>
  <c r="I151" i="3" s="1"/>
  <c r="J40" i="7"/>
  <c r="K40" i="7"/>
  <c r="J38" i="7"/>
  <c r="K38" i="7"/>
  <c r="J35" i="7"/>
  <c r="K35" i="7"/>
  <c r="K32" i="7"/>
  <c r="K31" i="7" s="1"/>
  <c r="J32" i="7"/>
  <c r="J31" i="7" s="1"/>
  <c r="F18" i="7"/>
  <c r="G18" i="7"/>
  <c r="H18" i="7"/>
  <c r="I18" i="7"/>
  <c r="J18" i="7"/>
  <c r="K18" i="7"/>
  <c r="L18" i="7"/>
  <c r="G28" i="7"/>
  <c r="G27" i="7" s="1"/>
  <c r="M147" i="6"/>
  <c r="G254" i="6"/>
  <c r="F254" i="6"/>
  <c r="F252" i="6"/>
  <c r="F251" i="6" s="1"/>
  <c r="G252" i="6"/>
  <c r="G251" i="6"/>
  <c r="M249" i="6"/>
  <c r="G249" i="6"/>
  <c r="F249" i="6"/>
  <c r="G247" i="6"/>
  <c r="F247" i="6"/>
  <c r="G237" i="6"/>
  <c r="F237" i="6"/>
  <c r="M236" i="6"/>
  <c r="M247" i="6"/>
  <c r="F148" i="8"/>
  <c r="D148" i="8" s="1"/>
  <c r="F145" i="8"/>
  <c r="D145" i="8" s="1"/>
  <c r="F142" i="8"/>
  <c r="D142" i="8" s="1"/>
  <c r="M142" i="8"/>
  <c r="F140" i="8"/>
  <c r="D140" i="8" s="1"/>
  <c r="M226" i="3"/>
  <c r="L232" i="3"/>
  <c r="K232" i="3"/>
  <c r="J232" i="3"/>
  <c r="I232" i="3"/>
  <c r="H232" i="3"/>
  <c r="G232" i="3"/>
  <c r="F232" i="3"/>
  <c r="L230" i="3"/>
  <c r="L229" i="3" s="1"/>
  <c r="L272" i="3" s="1"/>
  <c r="K230" i="3"/>
  <c r="J230" i="3"/>
  <c r="J229" i="3" s="1"/>
  <c r="J272" i="3" s="1"/>
  <c r="I230" i="3"/>
  <c r="H230" i="3"/>
  <c r="H229" i="3" s="1"/>
  <c r="H272" i="3" s="1"/>
  <c r="G230" i="3"/>
  <c r="F230" i="3"/>
  <c r="F229" i="3" s="1"/>
  <c r="M227" i="3"/>
  <c r="L227" i="3"/>
  <c r="K227" i="3"/>
  <c r="J227" i="3"/>
  <c r="I227" i="3"/>
  <c r="H227" i="3"/>
  <c r="G227" i="3"/>
  <c r="F227" i="3"/>
  <c r="L224" i="3"/>
  <c r="K224" i="3"/>
  <c r="J224" i="3"/>
  <c r="I224" i="3"/>
  <c r="H224" i="3"/>
  <c r="G224" i="3"/>
  <c r="F224" i="3"/>
  <c r="L223" i="3"/>
  <c r="L9" i="3" s="1"/>
  <c r="I229" i="3"/>
  <c r="I272" i="3" s="1"/>
  <c r="F99" i="2"/>
  <c r="F98" i="2" s="1"/>
  <c r="F113" i="2"/>
  <c r="F112" i="2" s="1"/>
  <c r="M258" i="2"/>
  <c r="F146" i="2"/>
  <c r="F145" i="2" s="1"/>
  <c r="F178" i="2"/>
  <c r="F177" i="2" s="1"/>
  <c r="F190" i="2"/>
  <c r="F189" i="2" s="1"/>
  <c r="F169" i="2"/>
  <c r="F168" i="2" s="1"/>
  <c r="M320" i="2"/>
  <c r="M317" i="2"/>
  <c r="M296" i="2"/>
  <c r="M295" i="2" s="1"/>
  <c r="M293" i="2"/>
  <c r="M292" i="2" s="1"/>
  <c r="M308" i="2"/>
  <c r="M307" i="2" s="1"/>
  <c r="M305" i="2"/>
  <c r="M304" i="2" s="1"/>
  <c r="G147" i="9"/>
  <c r="L162" i="9"/>
  <c r="L159" i="9" s="1"/>
  <c r="K162" i="9"/>
  <c r="K159" i="9" s="1"/>
  <c r="J162" i="9"/>
  <c r="J159" i="9" s="1"/>
  <c r="I162" i="9"/>
  <c r="I159" i="9" s="1"/>
  <c r="H162" i="9"/>
  <c r="H159" i="9" s="1"/>
  <c r="G162" i="9"/>
  <c r="F162" i="9"/>
  <c r="M157" i="9"/>
  <c r="L150" i="9"/>
  <c r="L149" i="9" s="1"/>
  <c r="K150" i="9"/>
  <c r="K149" i="9" s="1"/>
  <c r="J150" i="9"/>
  <c r="J149" i="9" s="1"/>
  <c r="I150" i="9"/>
  <c r="H150" i="9"/>
  <c r="F150" i="9"/>
  <c r="E283" i="9"/>
  <c r="M147" i="9"/>
  <c r="M91" i="9"/>
  <c r="M90" i="9" s="1"/>
  <c r="M144" i="9"/>
  <c r="M611" i="2"/>
  <c r="F624" i="2"/>
  <c r="F623" i="2" s="1"/>
  <c r="H422" i="2"/>
  <c r="H419" i="2"/>
  <c r="I419" i="2"/>
  <c r="I422" i="2"/>
  <c r="H412" i="2"/>
  <c r="H416" i="2"/>
  <c r="I416" i="2"/>
  <c r="I412" i="2"/>
  <c r="M414" i="2"/>
  <c r="M417" i="2"/>
  <c r="I726" i="2"/>
  <c r="H726" i="2"/>
  <c r="G726" i="2"/>
  <c r="F726" i="2"/>
  <c r="G718" i="2"/>
  <c r="H718" i="2"/>
  <c r="I718" i="2"/>
  <c r="M726" i="2"/>
  <c r="D726" i="2"/>
  <c r="M718" i="2"/>
  <c r="D718" i="2"/>
  <c r="F718" i="2"/>
  <c r="I632" i="2"/>
  <c r="I631" i="2" s="1"/>
  <c r="M633" i="2"/>
  <c r="M632" i="2" s="1"/>
  <c r="M631" i="2" s="1"/>
  <c r="M472" i="2"/>
  <c r="M470" i="2"/>
  <c r="M461" i="2"/>
  <c r="M458" i="2"/>
  <c r="M688" i="2"/>
  <c r="I41" i="3"/>
  <c r="G41" i="3"/>
  <c r="I59" i="13"/>
  <c r="H59" i="13"/>
  <c r="G59" i="13"/>
  <c r="M59" i="13" s="1"/>
  <c r="I65" i="13"/>
  <c r="H65" i="13"/>
  <c r="G65" i="13"/>
  <c r="I64" i="13"/>
  <c r="I62" i="13" s="1"/>
  <c r="I17" i="13" s="1"/>
  <c r="H64" i="13"/>
  <c r="G64" i="13"/>
  <c r="G62" i="13" s="1"/>
  <c r="I58" i="13"/>
  <c r="I56" i="13" s="1"/>
  <c r="I14" i="13" s="1"/>
  <c r="H58" i="13"/>
  <c r="M58" i="13" s="1"/>
  <c r="F66" i="5"/>
  <c r="F65" i="5"/>
  <c r="F69" i="5"/>
  <c r="F36" i="5"/>
  <c r="F34" i="5"/>
  <c r="F33" i="5" s="1"/>
  <c r="I32" i="3"/>
  <c r="F19" i="4"/>
  <c r="C71" i="1" s="1"/>
  <c r="K23" i="13"/>
  <c r="L23" i="13"/>
  <c r="L21" i="13" s="1"/>
  <c r="L18" i="13" s="1"/>
  <c r="L107" i="13" s="1"/>
  <c r="L88" i="13" s="1"/>
  <c r="J17" i="13"/>
  <c r="K17" i="13"/>
  <c r="L17" i="13"/>
  <c r="L15" i="13" s="1"/>
  <c r="F13" i="13"/>
  <c r="M13" i="13" s="1"/>
  <c r="G13" i="13"/>
  <c r="H13" i="13"/>
  <c r="I13" i="13"/>
  <c r="J13" i="13"/>
  <c r="K13" i="13"/>
  <c r="L13" i="13"/>
  <c r="J14" i="13"/>
  <c r="K14" i="13"/>
  <c r="K12" i="13" s="1"/>
  <c r="L14" i="13"/>
  <c r="F40" i="13"/>
  <c r="G40" i="13"/>
  <c r="H40" i="13"/>
  <c r="I40" i="13"/>
  <c r="J40" i="13"/>
  <c r="F35" i="13"/>
  <c r="G35" i="13"/>
  <c r="H35" i="13"/>
  <c r="I35" i="13"/>
  <c r="F37" i="13"/>
  <c r="G37" i="13"/>
  <c r="H37" i="13"/>
  <c r="I37" i="13"/>
  <c r="G31" i="13"/>
  <c r="H31" i="13"/>
  <c r="I31" i="13"/>
  <c r="F31" i="13"/>
  <c r="F28" i="13"/>
  <c r="G28" i="13"/>
  <c r="H28" i="13"/>
  <c r="F26" i="13"/>
  <c r="G26" i="13"/>
  <c r="H26" i="13"/>
  <c r="F25" i="13"/>
  <c r="H114" i="9"/>
  <c r="G114" i="9"/>
  <c r="H100" i="9"/>
  <c r="I30" i="13"/>
  <c r="I34" i="13"/>
  <c r="G34" i="13"/>
  <c r="H30" i="13"/>
  <c r="F30" i="13"/>
  <c r="H34" i="13"/>
  <c r="J39" i="13"/>
  <c r="H39" i="13"/>
  <c r="F39" i="13"/>
  <c r="I39" i="13"/>
  <c r="G39" i="13"/>
  <c r="M139" i="9"/>
  <c r="M138" i="9" s="1"/>
  <c r="F252" i="2"/>
  <c r="M284" i="2"/>
  <c r="F37" i="2"/>
  <c r="M281" i="2"/>
  <c r="D60" i="3"/>
  <c r="D59" i="3"/>
  <c r="D54" i="3"/>
  <c r="F58" i="3"/>
  <c r="G58" i="3"/>
  <c r="H58" i="3"/>
  <c r="H16" i="3" s="1"/>
  <c r="I58" i="3"/>
  <c r="I16" i="3" s="1"/>
  <c r="J58" i="3"/>
  <c r="K58" i="3"/>
  <c r="L58" i="3"/>
  <c r="D55" i="3"/>
  <c r="F53" i="3"/>
  <c r="G53" i="3"/>
  <c r="H53" i="3"/>
  <c r="I53" i="3"/>
  <c r="I52" i="3" s="1"/>
  <c r="J53" i="3"/>
  <c r="K53" i="3"/>
  <c r="L53" i="3"/>
  <c r="L12" i="3" s="1"/>
  <c r="G64" i="3"/>
  <c r="H64" i="3"/>
  <c r="I64" i="3"/>
  <c r="J64" i="3"/>
  <c r="K64" i="3"/>
  <c r="L64" i="3"/>
  <c r="F62" i="3"/>
  <c r="G62" i="3"/>
  <c r="H62" i="3"/>
  <c r="H61" i="3" s="1"/>
  <c r="I62" i="3"/>
  <c r="J62" i="3"/>
  <c r="J61" i="3" s="1"/>
  <c r="K62" i="3"/>
  <c r="K61" i="3" s="1"/>
  <c r="L62" i="3"/>
  <c r="L61" i="3" s="1"/>
  <c r="I57" i="3"/>
  <c r="J52" i="3"/>
  <c r="K52" i="3"/>
  <c r="G52" i="3"/>
  <c r="L57" i="3"/>
  <c r="J57" i="3"/>
  <c r="H57" i="3"/>
  <c r="F83" i="8"/>
  <c r="D83" i="8" s="1"/>
  <c r="F81" i="8"/>
  <c r="M81" i="8" s="1"/>
  <c r="G82" i="8"/>
  <c r="H82" i="8"/>
  <c r="G80" i="8"/>
  <c r="H80" i="8"/>
  <c r="H87" i="8"/>
  <c r="H85" i="8"/>
  <c r="H84" i="8" s="1"/>
  <c r="G88" i="8"/>
  <c r="D88" i="8" s="1"/>
  <c r="G86" i="8"/>
  <c r="F86" i="8"/>
  <c r="D86" i="8" s="1"/>
  <c r="H79" i="8"/>
  <c r="F17" i="10" s="1"/>
  <c r="G79" i="8"/>
  <c r="E17" i="10" s="1"/>
  <c r="F266" i="9"/>
  <c r="F265" i="9" s="1"/>
  <c r="F254" i="9" s="1"/>
  <c r="G266" i="9"/>
  <c r="G265" i="9" s="1"/>
  <c r="G254" i="9" s="1"/>
  <c r="G253" i="9" s="1"/>
  <c r="H266" i="9"/>
  <c r="H265" i="9" s="1"/>
  <c r="H254" i="9" s="1"/>
  <c r="H253" i="9" s="1"/>
  <c r="F506" i="2"/>
  <c r="H32" i="3"/>
  <c r="J606" i="2"/>
  <c r="K606" i="2"/>
  <c r="L606" i="2"/>
  <c r="I678" i="2"/>
  <c r="I677" i="2" s="1"/>
  <c r="F102" i="1" s="1"/>
  <c r="I600" i="2"/>
  <c r="I599" i="2" s="1"/>
  <c r="I598" i="2" s="1"/>
  <c r="H670" i="2"/>
  <c r="H669" i="2" s="1"/>
  <c r="H632" i="2"/>
  <c r="H631" i="2" s="1"/>
  <c r="D716" i="2"/>
  <c r="F715" i="2"/>
  <c r="F714" i="2" s="1"/>
  <c r="M707" i="2"/>
  <c r="M706" i="2" s="1"/>
  <c r="L433" i="2"/>
  <c r="F428" i="2"/>
  <c r="G428" i="2"/>
  <c r="H428" i="2"/>
  <c r="I428" i="2"/>
  <c r="J428" i="2"/>
  <c r="K428" i="2"/>
  <c r="L428" i="2"/>
  <c r="K427" i="2"/>
  <c r="L427" i="2"/>
  <c r="G324" i="2"/>
  <c r="F324" i="2"/>
  <c r="D323" i="2"/>
  <c r="D322" i="2" s="1"/>
  <c r="M319" i="2"/>
  <c r="G319" i="2"/>
  <c r="F319" i="2"/>
  <c r="D318" i="2"/>
  <c r="M316" i="2"/>
  <c r="G316" i="2"/>
  <c r="F316" i="2"/>
  <c r="G312" i="2"/>
  <c r="F312" i="2"/>
  <c r="D311" i="2"/>
  <c r="D310" i="2" s="1"/>
  <c r="D307" i="2"/>
  <c r="G307" i="2"/>
  <c r="F307" i="2"/>
  <c r="D306" i="2"/>
  <c r="G304" i="2"/>
  <c r="F304" i="2"/>
  <c r="G300" i="2"/>
  <c r="F300" i="2"/>
  <c r="D299" i="2"/>
  <c r="D298" i="2" s="1"/>
  <c r="G295" i="2"/>
  <c r="F295" i="2"/>
  <c r="D294" i="2"/>
  <c r="G292" i="2"/>
  <c r="G291" i="2" s="1"/>
  <c r="F292" i="2"/>
  <c r="G288" i="2"/>
  <c r="G283" i="2"/>
  <c r="G280" i="2"/>
  <c r="F288" i="2"/>
  <c r="D287" i="2"/>
  <c r="D286" i="2" s="1"/>
  <c r="M283" i="2"/>
  <c r="F283" i="2"/>
  <c r="D282" i="2"/>
  <c r="M280" i="2"/>
  <c r="F280" i="2"/>
  <c r="I501" i="2"/>
  <c r="H501" i="2"/>
  <c r="G501" i="2"/>
  <c r="F501" i="2"/>
  <c r="I500" i="2"/>
  <c r="M498" i="2"/>
  <c r="H498" i="2"/>
  <c r="G498" i="2"/>
  <c r="F498" i="2"/>
  <c r="M496" i="2"/>
  <c r="M495" i="2" s="1"/>
  <c r="H496" i="2"/>
  <c r="G496" i="2"/>
  <c r="F496" i="2"/>
  <c r="I492" i="2"/>
  <c r="G492" i="2"/>
  <c r="H492" i="2"/>
  <c r="G489" i="2"/>
  <c r="H489" i="2"/>
  <c r="G487" i="2"/>
  <c r="G486" i="2" s="1"/>
  <c r="H487" i="2"/>
  <c r="H486" i="2" s="1"/>
  <c r="F492" i="2"/>
  <c r="M489" i="2"/>
  <c r="F489" i="2"/>
  <c r="M487" i="2"/>
  <c r="F487" i="2"/>
  <c r="G483" i="2"/>
  <c r="F483" i="2"/>
  <c r="D480" i="2"/>
  <c r="F480" i="2"/>
  <c r="F478" i="2"/>
  <c r="G474" i="2"/>
  <c r="G473" i="2" s="1"/>
  <c r="F474" i="2"/>
  <c r="F473" i="2" s="1"/>
  <c r="M471" i="2"/>
  <c r="F471" i="2"/>
  <c r="M469" i="2"/>
  <c r="F469" i="2"/>
  <c r="M428" i="2"/>
  <c r="M716" i="2"/>
  <c r="M715" i="2" s="1"/>
  <c r="M714" i="2" s="1"/>
  <c r="F297" i="2"/>
  <c r="F285" i="2"/>
  <c r="G285" i="2"/>
  <c r="G309" i="2"/>
  <c r="G315" i="2"/>
  <c r="G321" i="2"/>
  <c r="H500" i="2"/>
  <c r="F491" i="2"/>
  <c r="G491" i="2"/>
  <c r="G715" i="2"/>
  <c r="G714" i="2" s="1"/>
  <c r="D715" i="2"/>
  <c r="D714" i="2" s="1"/>
  <c r="M291" i="2"/>
  <c r="G279" i="2"/>
  <c r="M486" i="2"/>
  <c r="D316" i="2"/>
  <c r="F457" i="2"/>
  <c r="G457" i="2"/>
  <c r="G456" i="2" s="1"/>
  <c r="G465" i="2"/>
  <c r="G462" i="2" s="1"/>
  <c r="F465" i="2"/>
  <c r="M460" i="2"/>
  <c r="F460" i="2"/>
  <c r="M457" i="2"/>
  <c r="M456" i="2" s="1"/>
  <c r="G453" i="2"/>
  <c r="G452" i="2" s="1"/>
  <c r="F450" i="2"/>
  <c r="F448" i="2"/>
  <c r="D463" i="2"/>
  <c r="D433" i="2"/>
  <c r="D432" i="2" s="1"/>
  <c r="I147" i="8"/>
  <c r="J147" i="8"/>
  <c r="K147" i="8"/>
  <c r="L147" i="8"/>
  <c r="I144" i="8"/>
  <c r="I143" i="8" s="1"/>
  <c r="J144" i="8"/>
  <c r="J143" i="8" s="1"/>
  <c r="K144" i="8"/>
  <c r="L144" i="8"/>
  <c r="L143" i="8" s="1"/>
  <c r="I141" i="8"/>
  <c r="J141" i="8"/>
  <c r="K141" i="8"/>
  <c r="L141" i="8"/>
  <c r="I138" i="8"/>
  <c r="I137" i="8" s="1"/>
  <c r="J138" i="8"/>
  <c r="K138" i="8"/>
  <c r="K137" i="8" s="1"/>
  <c r="L138" i="8"/>
  <c r="J137" i="8"/>
  <c r="K143" i="8"/>
  <c r="K217" i="8" s="1"/>
  <c r="K219" i="8" s="1"/>
  <c r="D227" i="6"/>
  <c r="F17" i="5"/>
  <c r="G17" i="5"/>
  <c r="H17" i="5"/>
  <c r="I17" i="5"/>
  <c r="J17" i="5"/>
  <c r="K17" i="5"/>
  <c r="L17" i="5"/>
  <c r="F20" i="5"/>
  <c r="G20" i="5"/>
  <c r="H20" i="5"/>
  <c r="I20" i="5"/>
  <c r="J20" i="5"/>
  <c r="K20" i="5"/>
  <c r="L20" i="5"/>
  <c r="M17" i="5"/>
  <c r="G23" i="1"/>
  <c r="L12" i="13"/>
  <c r="J12" i="13"/>
  <c r="L20" i="13"/>
  <c r="L19" i="13" s="1"/>
  <c r="H19" i="13"/>
  <c r="J19" i="13"/>
  <c r="K19" i="13"/>
  <c r="J9" i="13"/>
  <c r="K9" i="13"/>
  <c r="L9" i="13"/>
  <c r="J67" i="13"/>
  <c r="J69" i="13"/>
  <c r="F67" i="13"/>
  <c r="G67" i="13"/>
  <c r="H67" i="13"/>
  <c r="I67" i="13"/>
  <c r="F69" i="13"/>
  <c r="G69" i="13"/>
  <c r="H69" i="13"/>
  <c r="I69" i="13"/>
  <c r="I19" i="13"/>
  <c r="G19" i="13"/>
  <c r="F66" i="13"/>
  <c r="I66" i="13"/>
  <c r="J66" i="13"/>
  <c r="G178" i="6"/>
  <c r="F178" i="6"/>
  <c r="F160" i="6" s="1"/>
  <c r="G182" i="6"/>
  <c r="F182" i="6"/>
  <c r="G188" i="6"/>
  <c r="F188" i="6"/>
  <c r="F316" i="6" s="1"/>
  <c r="I211" i="6"/>
  <c r="H211" i="6"/>
  <c r="G211" i="6"/>
  <c r="I215" i="6"/>
  <c r="H215" i="6"/>
  <c r="G215" i="6"/>
  <c r="D66" i="5"/>
  <c r="D65" i="5" s="1"/>
  <c r="F68" i="5"/>
  <c r="D69" i="5"/>
  <c r="D68" i="5" s="1"/>
  <c r="M66" i="5"/>
  <c r="M65" i="5" s="1"/>
  <c r="H506" i="2"/>
  <c r="H427" i="2" s="1"/>
  <c r="G506" i="2"/>
  <c r="G234" i="6"/>
  <c r="M416" i="2"/>
  <c r="M413" i="2"/>
  <c r="M412" i="2" s="1"/>
  <c r="M403" i="2"/>
  <c r="M400" i="2"/>
  <c r="E317" i="6"/>
  <c r="E320" i="6" s="1"/>
  <c r="K316" i="6"/>
  <c r="K315" i="6"/>
  <c r="J316" i="6"/>
  <c r="J315" i="6"/>
  <c r="I316" i="6"/>
  <c r="H316" i="6"/>
  <c r="H315" i="6"/>
  <c r="G315" i="6"/>
  <c r="F315" i="6"/>
  <c r="G243" i="6"/>
  <c r="F241" i="6"/>
  <c r="G238" i="6"/>
  <c r="F238" i="6"/>
  <c r="M177" i="3"/>
  <c r="G510" i="2"/>
  <c r="H510" i="2"/>
  <c r="G516" i="2"/>
  <c r="G515" i="2" s="1"/>
  <c r="H516" i="2"/>
  <c r="F516" i="2"/>
  <c r="F515" i="2" s="1"/>
  <c r="H515" i="2"/>
  <c r="F48" i="2"/>
  <c r="G48" i="2"/>
  <c r="H48" i="2"/>
  <c r="I48" i="2"/>
  <c r="J48" i="2"/>
  <c r="K48" i="2"/>
  <c r="L48" i="2"/>
  <c r="F40" i="2"/>
  <c r="G40" i="2"/>
  <c r="H40" i="2"/>
  <c r="I40" i="2"/>
  <c r="J40" i="2"/>
  <c r="K40" i="2"/>
  <c r="L40" i="2"/>
  <c r="F422" i="2"/>
  <c r="G422" i="2"/>
  <c r="F416" i="2"/>
  <c r="G416" i="2"/>
  <c r="F419" i="2"/>
  <c r="F418" i="2" s="1"/>
  <c r="F412" i="2"/>
  <c r="G412" i="2"/>
  <c r="G411" i="2" s="1"/>
  <c r="D401" i="2"/>
  <c r="G418" i="2"/>
  <c r="G379" i="2"/>
  <c r="G376" i="2"/>
  <c r="D200" i="6"/>
  <c r="G218" i="6"/>
  <c r="H218" i="6"/>
  <c r="F218" i="6"/>
  <c r="I218" i="6"/>
  <c r="J218" i="6"/>
  <c r="K218" i="6"/>
  <c r="L218" i="6"/>
  <c r="D220" i="6"/>
  <c r="F226" i="6"/>
  <c r="G226" i="6"/>
  <c r="H226" i="6"/>
  <c r="I226" i="6"/>
  <c r="J226" i="6"/>
  <c r="K226" i="6"/>
  <c r="L226" i="6"/>
  <c r="G160" i="6"/>
  <c r="I160" i="6"/>
  <c r="J160" i="6"/>
  <c r="K160" i="6"/>
  <c r="L160" i="6"/>
  <c r="F161" i="6"/>
  <c r="G161" i="6"/>
  <c r="H161" i="6"/>
  <c r="I161" i="6"/>
  <c r="I16" i="6" s="1"/>
  <c r="J161" i="6"/>
  <c r="J16" i="6" s="1"/>
  <c r="K161" i="6"/>
  <c r="L161" i="6"/>
  <c r="L16" i="6" s="1"/>
  <c r="F164" i="6"/>
  <c r="H164" i="6"/>
  <c r="H318" i="6" s="1"/>
  <c r="J164" i="6"/>
  <c r="J318" i="6" s="1"/>
  <c r="K164" i="6"/>
  <c r="K318" i="6" s="1"/>
  <c r="L164" i="6"/>
  <c r="G165" i="6"/>
  <c r="H165" i="6"/>
  <c r="I165" i="6"/>
  <c r="J165" i="6"/>
  <c r="K165" i="6"/>
  <c r="L165" i="6"/>
  <c r="F166" i="6"/>
  <c r="H166" i="6"/>
  <c r="I166" i="6"/>
  <c r="J166" i="6"/>
  <c r="K166" i="6"/>
  <c r="L166" i="6"/>
  <c r="F169" i="6"/>
  <c r="G169" i="6"/>
  <c r="G23" i="6" s="1"/>
  <c r="H169" i="6"/>
  <c r="H168" i="6" s="1"/>
  <c r="I169" i="6"/>
  <c r="I23" i="6" s="1"/>
  <c r="J169" i="6"/>
  <c r="K169" i="6"/>
  <c r="K23" i="6" s="1"/>
  <c r="L169" i="6"/>
  <c r="L168" i="6" s="1"/>
  <c r="F172" i="6"/>
  <c r="H172" i="6"/>
  <c r="J172" i="6"/>
  <c r="K172" i="6"/>
  <c r="L172" i="6"/>
  <c r="F173" i="6"/>
  <c r="G173" i="6"/>
  <c r="H173" i="6"/>
  <c r="I173" i="6"/>
  <c r="J173" i="6"/>
  <c r="K173" i="6"/>
  <c r="L173" i="6"/>
  <c r="F174" i="6"/>
  <c r="H174" i="6"/>
  <c r="I174" i="6"/>
  <c r="J174" i="6"/>
  <c r="K174" i="6"/>
  <c r="L174" i="6"/>
  <c r="F177" i="6"/>
  <c r="G177" i="6"/>
  <c r="H177" i="6"/>
  <c r="I177" i="6"/>
  <c r="J177" i="6"/>
  <c r="K177" i="6"/>
  <c r="L177" i="6"/>
  <c r="M178" i="6"/>
  <c r="M179" i="6"/>
  <c r="M182" i="6"/>
  <c r="F181" i="6"/>
  <c r="F180" i="6" s="1"/>
  <c r="F176" i="6" s="1"/>
  <c r="H181" i="6"/>
  <c r="H180" i="6" s="1"/>
  <c r="H176" i="6" s="1"/>
  <c r="I181" i="6"/>
  <c r="I180" i="6" s="1"/>
  <c r="I176" i="6" s="1"/>
  <c r="J181" i="6"/>
  <c r="J180" i="6" s="1"/>
  <c r="J176" i="6" s="1"/>
  <c r="K181" i="6"/>
  <c r="K180" i="6" s="1"/>
  <c r="L181" i="6"/>
  <c r="L180" i="6" s="1"/>
  <c r="L176" i="6" s="1"/>
  <c r="D178" i="6"/>
  <c r="D179" i="6"/>
  <c r="D182" i="6"/>
  <c r="F184" i="6"/>
  <c r="G184" i="6"/>
  <c r="H184" i="6"/>
  <c r="I184" i="6"/>
  <c r="J184" i="6"/>
  <c r="K184" i="6"/>
  <c r="L184" i="6"/>
  <c r="D185" i="6"/>
  <c r="F187" i="6"/>
  <c r="G187" i="6"/>
  <c r="H187" i="6"/>
  <c r="H186" i="6" s="1"/>
  <c r="H183" i="6" s="1"/>
  <c r="I187" i="6"/>
  <c r="I186" i="6" s="1"/>
  <c r="I183" i="6" s="1"/>
  <c r="J187" i="6"/>
  <c r="J186" i="6" s="1"/>
  <c r="K187" i="6"/>
  <c r="K186" i="6" s="1"/>
  <c r="K183" i="6" s="1"/>
  <c r="L187" i="6"/>
  <c r="D188" i="6"/>
  <c r="F191" i="6"/>
  <c r="G191" i="6"/>
  <c r="H191" i="6"/>
  <c r="I191" i="6"/>
  <c r="J191" i="6"/>
  <c r="K191" i="6"/>
  <c r="L191" i="6"/>
  <c r="M192" i="6"/>
  <c r="M193" i="6"/>
  <c r="M197" i="6"/>
  <c r="G195" i="6"/>
  <c r="G194" i="6" s="1"/>
  <c r="H195" i="6"/>
  <c r="I195" i="6"/>
  <c r="I194" i="6" s="1"/>
  <c r="J195" i="6"/>
  <c r="J194" i="6" s="1"/>
  <c r="K195" i="6"/>
  <c r="K194" i="6" s="1"/>
  <c r="L195" i="6"/>
  <c r="L194" i="6" s="1"/>
  <c r="D197" i="6"/>
  <c r="D165" i="6" s="1"/>
  <c r="D193" i="6"/>
  <c r="D192" i="6"/>
  <c r="F199" i="6"/>
  <c r="G199" i="6"/>
  <c r="H199" i="6"/>
  <c r="I199" i="6"/>
  <c r="J199" i="6"/>
  <c r="K199" i="6"/>
  <c r="L199" i="6"/>
  <c r="F202" i="6"/>
  <c r="F201" i="6" s="1"/>
  <c r="G202" i="6"/>
  <c r="G201" i="6" s="1"/>
  <c r="H202" i="6"/>
  <c r="H201" i="6" s="1"/>
  <c r="I202" i="6"/>
  <c r="J202" i="6"/>
  <c r="J201" i="6" s="1"/>
  <c r="K202" i="6"/>
  <c r="L202" i="6"/>
  <c r="L201" i="6" s="1"/>
  <c r="D204" i="6"/>
  <c r="D173" i="6" s="1"/>
  <c r="F207" i="6"/>
  <c r="G207" i="6"/>
  <c r="H207" i="6"/>
  <c r="I207" i="6"/>
  <c r="J207" i="6"/>
  <c r="K207" i="6"/>
  <c r="L207" i="6"/>
  <c r="D208" i="6"/>
  <c r="M208" i="6"/>
  <c r="F210" i="6"/>
  <c r="G210" i="6"/>
  <c r="G209" i="6" s="1"/>
  <c r="I210" i="6"/>
  <c r="I209" i="6" s="1"/>
  <c r="J210" i="6"/>
  <c r="J209" i="6" s="1"/>
  <c r="K210" i="6"/>
  <c r="K209" i="6" s="1"/>
  <c r="L210" i="6"/>
  <c r="L209" i="6" s="1"/>
  <c r="F214" i="6"/>
  <c r="F213" i="6" s="1"/>
  <c r="F212" i="6" s="1"/>
  <c r="H214" i="6"/>
  <c r="H213" i="6" s="1"/>
  <c r="H212" i="6" s="1"/>
  <c r="J214" i="6"/>
  <c r="J213" i="6" s="1"/>
  <c r="J212" i="6" s="1"/>
  <c r="K214" i="6"/>
  <c r="K213" i="6" s="1"/>
  <c r="K212" i="6" s="1"/>
  <c r="L214" i="6"/>
  <c r="L213" i="6" s="1"/>
  <c r="L212" i="6" s="1"/>
  <c r="D215" i="6"/>
  <c r="M219" i="6"/>
  <c r="M220" i="6"/>
  <c r="D219" i="6"/>
  <c r="M223" i="6"/>
  <c r="F222" i="6"/>
  <c r="F221" i="6" s="1"/>
  <c r="F217" i="6" s="1"/>
  <c r="H222" i="6"/>
  <c r="H221" i="6" s="1"/>
  <c r="H217" i="6" s="1"/>
  <c r="J222" i="6"/>
  <c r="J221" i="6" s="1"/>
  <c r="J217" i="6" s="1"/>
  <c r="K222" i="6"/>
  <c r="K221" i="6" s="1"/>
  <c r="K217" i="6" s="1"/>
  <c r="L222" i="6"/>
  <c r="L221" i="6" s="1"/>
  <c r="L217" i="6" s="1"/>
  <c r="F229" i="6"/>
  <c r="H229" i="6"/>
  <c r="H228" i="6" s="1"/>
  <c r="H225" i="6" s="1"/>
  <c r="J229" i="6"/>
  <c r="J228" i="6" s="1"/>
  <c r="J225" i="6" s="1"/>
  <c r="K229" i="6"/>
  <c r="K228" i="6" s="1"/>
  <c r="L229" i="6"/>
  <c r="L228" i="6" s="1"/>
  <c r="L225" i="6" s="1"/>
  <c r="G186" i="6"/>
  <c r="G183" i="6" s="1"/>
  <c r="J159" i="6"/>
  <c r="I159" i="6"/>
  <c r="K163" i="6"/>
  <c r="F209" i="6"/>
  <c r="H16" i="6"/>
  <c r="G159" i="6"/>
  <c r="F16" i="6"/>
  <c r="L23" i="6"/>
  <c r="K168" i="6"/>
  <c r="G168" i="6"/>
  <c r="D226" i="6"/>
  <c r="F228" i="6"/>
  <c r="F225" i="6" s="1"/>
  <c r="F186" i="6"/>
  <c r="F183" i="6" s="1"/>
  <c r="K206" i="6"/>
  <c r="D191" i="6"/>
  <c r="D218" i="6"/>
  <c r="M390" i="2"/>
  <c r="M389" i="2"/>
  <c r="M391" i="2"/>
  <c r="J141" i="9"/>
  <c r="M59" i="5"/>
  <c r="M58" i="5" s="1"/>
  <c r="L83" i="13"/>
  <c r="K83" i="13"/>
  <c r="J83" i="13"/>
  <c r="H95" i="13"/>
  <c r="H94" i="13" s="1"/>
  <c r="H84" i="13" s="1"/>
  <c r="H83" i="13" s="1"/>
  <c r="G95" i="13"/>
  <c r="G94" i="13" s="1"/>
  <c r="G84" i="13" s="1"/>
  <c r="G83" i="13" s="1"/>
  <c r="F95" i="13"/>
  <c r="F94" i="13" s="1"/>
  <c r="F84" i="13" s="1"/>
  <c r="M95" i="13"/>
  <c r="M94" i="13" s="1"/>
  <c r="I92" i="13"/>
  <c r="H92" i="13"/>
  <c r="H91" i="13" s="1"/>
  <c r="H90" i="13" s="1"/>
  <c r="G92" i="13"/>
  <c r="F92" i="13"/>
  <c r="F91" i="13" s="1"/>
  <c r="F90" i="13" s="1"/>
  <c r="D92" i="13"/>
  <c r="D91" i="13" s="1"/>
  <c r="D90" i="13" s="1"/>
  <c r="I91" i="13"/>
  <c r="I90" i="13" s="1"/>
  <c r="G91" i="13"/>
  <c r="G90" i="13" s="1"/>
  <c r="I89" i="13"/>
  <c r="H89" i="13"/>
  <c r="G89" i="13"/>
  <c r="F89" i="13"/>
  <c r="M89" i="13" s="1"/>
  <c r="D89" i="13"/>
  <c r="I83" i="13"/>
  <c r="M85" i="13"/>
  <c r="D95" i="13"/>
  <c r="D94" i="13" s="1"/>
  <c r="D84" i="13" s="1"/>
  <c r="D83" i="13" s="1"/>
  <c r="G34" i="5"/>
  <c r="H34" i="5"/>
  <c r="G36" i="5"/>
  <c r="H36" i="5"/>
  <c r="F39" i="5"/>
  <c r="G39" i="5"/>
  <c r="G33" i="5"/>
  <c r="H33" i="5"/>
  <c r="M82" i="9"/>
  <c r="L592" i="2"/>
  <c r="L591" i="2" s="1"/>
  <c r="K592" i="2"/>
  <c r="J592" i="2"/>
  <c r="J591" i="2" s="1"/>
  <c r="K591" i="2"/>
  <c r="L589" i="2"/>
  <c r="K589" i="2"/>
  <c r="J589" i="2"/>
  <c r="L587" i="2"/>
  <c r="K587" i="2"/>
  <c r="J587" i="2"/>
  <c r="J599" i="2"/>
  <c r="J598" i="2" s="1"/>
  <c r="L599" i="2"/>
  <c r="L598" i="2" s="1"/>
  <c r="K599" i="2"/>
  <c r="K598" i="2" s="1"/>
  <c r="L274" i="6"/>
  <c r="L273" i="6" s="1"/>
  <c r="K274" i="6"/>
  <c r="K273" i="6" s="1"/>
  <c r="J274" i="6"/>
  <c r="J273" i="6" s="1"/>
  <c r="L282" i="6"/>
  <c r="L281" i="6" s="1"/>
  <c r="L263" i="9"/>
  <c r="K282" i="6"/>
  <c r="K281" i="6" s="1"/>
  <c r="J282" i="6"/>
  <c r="J281" i="6" s="1"/>
  <c r="J263" i="9"/>
  <c r="L278" i="6"/>
  <c r="L277" i="6" s="1"/>
  <c r="K278" i="6"/>
  <c r="J278" i="6"/>
  <c r="J277" i="6" s="1"/>
  <c r="K277" i="6"/>
  <c r="L101" i="4"/>
  <c r="L100" i="4" s="1"/>
  <c r="K101" i="4"/>
  <c r="K100" i="4" s="1"/>
  <c r="J101" i="4"/>
  <c r="J100" i="4" s="1"/>
  <c r="L98" i="4"/>
  <c r="K98" i="4"/>
  <c r="J98" i="4"/>
  <c r="J94" i="4" s="1"/>
  <c r="L95" i="4"/>
  <c r="K95" i="4"/>
  <c r="K94" i="4" s="1"/>
  <c r="J95" i="4"/>
  <c r="L114" i="4"/>
  <c r="L111" i="4" s="1"/>
  <c r="K114" i="4"/>
  <c r="K111" i="4" s="1"/>
  <c r="J114" i="4"/>
  <c r="J111" i="4" s="1"/>
  <c r="L109" i="4"/>
  <c r="K109" i="4"/>
  <c r="J109" i="4"/>
  <c r="L105" i="4"/>
  <c r="K105" i="4"/>
  <c r="J105" i="4"/>
  <c r="L123" i="4"/>
  <c r="L122" i="4" s="1"/>
  <c r="K123" i="4"/>
  <c r="K122" i="4" s="1"/>
  <c r="J123" i="4"/>
  <c r="J122" i="4" s="1"/>
  <c r="J128" i="4"/>
  <c r="J127" i="4" s="1"/>
  <c r="K128" i="4"/>
  <c r="K127" i="4" s="1"/>
  <c r="L128" i="4"/>
  <c r="L127" i="4" s="1"/>
  <c r="I128" i="4"/>
  <c r="I127" i="4" s="1"/>
  <c r="H128" i="4"/>
  <c r="H127" i="4" s="1"/>
  <c r="G128" i="4"/>
  <c r="G127" i="4" s="1"/>
  <c r="F128" i="4"/>
  <c r="F127" i="4" s="1"/>
  <c r="L51" i="4"/>
  <c r="K51" i="4"/>
  <c r="J51" i="4"/>
  <c r="L49" i="4"/>
  <c r="L48" i="4" s="1"/>
  <c r="K49" i="4"/>
  <c r="J49" i="4"/>
  <c r="J48" i="4" s="1"/>
  <c r="L46" i="4"/>
  <c r="K46" i="4"/>
  <c r="J46" i="4"/>
  <c r="L42" i="4"/>
  <c r="K42" i="4"/>
  <c r="J42" i="4"/>
  <c r="L63" i="4"/>
  <c r="L62" i="4" s="1"/>
  <c r="K63" i="4"/>
  <c r="K62" i="4" s="1"/>
  <c r="J63" i="4"/>
  <c r="J62" i="4" s="1"/>
  <c r="L55" i="4"/>
  <c r="L54" i="4" s="1"/>
  <c r="K55" i="4"/>
  <c r="K54" i="4" s="1"/>
  <c r="J55" i="4"/>
  <c r="J54" i="4" s="1"/>
  <c r="L71" i="4"/>
  <c r="K71" i="4"/>
  <c r="J71" i="4"/>
  <c r="L68" i="4"/>
  <c r="K68" i="4"/>
  <c r="K67" i="4" s="1"/>
  <c r="J68" i="4"/>
  <c r="L67" i="4"/>
  <c r="L76" i="4"/>
  <c r="K76" i="4"/>
  <c r="J76" i="4"/>
  <c r="L74" i="4"/>
  <c r="K74" i="4"/>
  <c r="J74" i="4"/>
  <c r="L73" i="4"/>
  <c r="K73" i="4"/>
  <c r="J73" i="4"/>
  <c r="L80" i="4"/>
  <c r="L79" i="4" s="1"/>
  <c r="K80" i="4"/>
  <c r="J80" i="4"/>
  <c r="K79" i="4"/>
  <c r="J79" i="4"/>
  <c r="O639" i="2"/>
  <c r="J104" i="4"/>
  <c r="J595" i="2"/>
  <c r="K595" i="2"/>
  <c r="D644" i="2"/>
  <c r="D643" i="2" s="1"/>
  <c r="L595" i="2"/>
  <c r="J34" i="5"/>
  <c r="K34" i="5"/>
  <c r="L34" i="5"/>
  <c r="L33" i="5" s="1"/>
  <c r="J36" i="5"/>
  <c r="K36" i="5"/>
  <c r="L36" i="5"/>
  <c r="J41" i="5"/>
  <c r="J38" i="5" s="1"/>
  <c r="J116" i="5" s="1"/>
  <c r="J118" i="5" s="1"/>
  <c r="K41" i="5"/>
  <c r="K38" i="5" s="1"/>
  <c r="K116" i="5" s="1"/>
  <c r="K118" i="5" s="1"/>
  <c r="L41" i="5"/>
  <c r="L38" i="5" s="1"/>
  <c r="L116" i="5" s="1"/>
  <c r="L118" i="5" s="1"/>
  <c r="J45" i="5"/>
  <c r="K45" i="5"/>
  <c r="L45" i="5"/>
  <c r="J48" i="5"/>
  <c r="J47" i="5" s="1"/>
  <c r="K48" i="5"/>
  <c r="K47" i="5" s="1"/>
  <c r="L48" i="5"/>
  <c r="L47" i="5" s="1"/>
  <c r="J52" i="5"/>
  <c r="J51" i="5" s="1"/>
  <c r="K52" i="5"/>
  <c r="K51" i="5" s="1"/>
  <c r="L52" i="5"/>
  <c r="L51" i="5" s="1"/>
  <c r="J55" i="5"/>
  <c r="K55" i="5"/>
  <c r="L55" i="5"/>
  <c r="J75" i="5"/>
  <c r="J73" i="5" s="1"/>
  <c r="K75" i="5"/>
  <c r="K73" i="5" s="1"/>
  <c r="L75" i="5"/>
  <c r="L73" i="5" s="1"/>
  <c r="J81" i="5"/>
  <c r="K81" i="5"/>
  <c r="L81" i="5"/>
  <c r="J77" i="5"/>
  <c r="J76" i="5" s="1"/>
  <c r="K77" i="5"/>
  <c r="L77" i="5"/>
  <c r="L76" i="5" s="1"/>
  <c r="J87" i="5"/>
  <c r="J83" i="5" s="1"/>
  <c r="K87" i="5"/>
  <c r="K83" i="5" s="1"/>
  <c r="L87" i="5"/>
  <c r="L83" i="5" s="1"/>
  <c r="J99" i="5"/>
  <c r="K99" i="5"/>
  <c r="L99" i="5"/>
  <c r="J105" i="5"/>
  <c r="K105" i="5"/>
  <c r="L105" i="5"/>
  <c r="J112" i="5"/>
  <c r="J111" i="5" s="1"/>
  <c r="K112" i="5"/>
  <c r="K111" i="5" s="1"/>
  <c r="L112" i="5"/>
  <c r="L111" i="5" s="1"/>
  <c r="J59" i="5"/>
  <c r="K59" i="5"/>
  <c r="L59" i="5"/>
  <c r="J62" i="5"/>
  <c r="J61" i="5" s="1"/>
  <c r="J58" i="5" s="1"/>
  <c r="K62" i="5"/>
  <c r="K61" i="5" s="1"/>
  <c r="K58" i="5" s="1"/>
  <c r="L62" i="5"/>
  <c r="L61" i="5" s="1"/>
  <c r="L58" i="5" s="1"/>
  <c r="I62" i="5"/>
  <c r="H62" i="5"/>
  <c r="G62" i="5"/>
  <c r="F62" i="5"/>
  <c r="I61" i="5"/>
  <c r="H61" i="5"/>
  <c r="G61" i="5"/>
  <c r="I59" i="5"/>
  <c r="H59" i="5"/>
  <c r="G59" i="5"/>
  <c r="G58" i="5" s="1"/>
  <c r="F59" i="5"/>
  <c r="I58" i="5"/>
  <c r="F58" i="5"/>
  <c r="F75" i="5"/>
  <c r="F73" i="5" s="1"/>
  <c r="G75" i="5"/>
  <c r="G73" i="5" s="1"/>
  <c r="H75" i="5"/>
  <c r="H73" i="5" s="1"/>
  <c r="I75" i="5"/>
  <c r="I73" i="5" s="1"/>
  <c r="J33" i="5"/>
  <c r="K33" i="5"/>
  <c r="K76" i="5"/>
  <c r="M136" i="9"/>
  <c r="I263" i="9"/>
  <c r="I262" i="9" s="1"/>
  <c r="I261" i="9" s="1"/>
  <c r="K263" i="9"/>
  <c r="H263" i="9"/>
  <c r="H262" i="9" s="1"/>
  <c r="H261" i="9" s="1"/>
  <c r="J265" i="9"/>
  <c r="J254" i="9" s="1"/>
  <c r="K265" i="9"/>
  <c r="K254" i="9" s="1"/>
  <c r="L265" i="9"/>
  <c r="L254" i="9" s="1"/>
  <c r="K141" i="9"/>
  <c r="L141" i="9"/>
  <c r="J96" i="9"/>
  <c r="J95" i="9" s="1"/>
  <c r="K96" i="9"/>
  <c r="K95" i="9" s="1"/>
  <c r="L96" i="9"/>
  <c r="L95" i="9" s="1"/>
  <c r="J87" i="9"/>
  <c r="J86" i="9" s="1"/>
  <c r="K87" i="9"/>
  <c r="K86" i="9" s="1"/>
  <c r="L87" i="9"/>
  <c r="L86" i="9" s="1"/>
  <c r="J78" i="9"/>
  <c r="J77" i="9" s="1"/>
  <c r="K78" i="9"/>
  <c r="K77" i="9" s="1"/>
  <c r="L78" i="9"/>
  <c r="L77" i="9" s="1"/>
  <c r="J71" i="9"/>
  <c r="J70" i="9" s="1"/>
  <c r="K71" i="9"/>
  <c r="K70" i="9" s="1"/>
  <c r="L71" i="9"/>
  <c r="L70" i="9" s="1"/>
  <c r="J64" i="9"/>
  <c r="J63" i="9" s="1"/>
  <c r="K64" i="9"/>
  <c r="K63" i="9" s="1"/>
  <c r="L64" i="9"/>
  <c r="L63" i="9" s="1"/>
  <c r="J55" i="9"/>
  <c r="J54" i="9" s="1"/>
  <c r="J140" i="9"/>
  <c r="K55" i="9"/>
  <c r="K54" i="9" s="1"/>
  <c r="L55" i="9"/>
  <c r="L54" i="9" s="1"/>
  <c r="L140" i="9"/>
  <c r="J48" i="9"/>
  <c r="J47" i="9" s="1"/>
  <c r="K48" i="9"/>
  <c r="K47" i="9" s="1"/>
  <c r="L48" i="9"/>
  <c r="L47" i="9" s="1"/>
  <c r="J39" i="9"/>
  <c r="J38" i="9" s="1"/>
  <c r="K39" i="9"/>
  <c r="K38" i="9" s="1"/>
  <c r="L39" i="9"/>
  <c r="L38" i="9" s="1"/>
  <c r="J30" i="9"/>
  <c r="J29" i="9" s="1"/>
  <c r="K30" i="9"/>
  <c r="K29" i="9" s="1"/>
  <c r="L30" i="9"/>
  <c r="L29" i="9" s="1"/>
  <c r="K262" i="9"/>
  <c r="K261" i="9" s="1"/>
  <c r="D194" i="3"/>
  <c r="J20" i="3"/>
  <c r="K20" i="3"/>
  <c r="L20" i="3"/>
  <c r="I18" i="3"/>
  <c r="G18" i="3"/>
  <c r="D112" i="3"/>
  <c r="D111" i="3"/>
  <c r="D110" i="3" s="1"/>
  <c r="D106" i="3"/>
  <c r="G158" i="3"/>
  <c r="G157" i="3" s="1"/>
  <c r="E24" i="10" s="1"/>
  <c r="F158" i="3"/>
  <c r="D158" i="3"/>
  <c r="D170" i="3"/>
  <c r="D167" i="3"/>
  <c r="M167" i="3"/>
  <c r="M166" i="3"/>
  <c r="M164" i="3" s="1"/>
  <c r="D188" i="3"/>
  <c r="D184" i="3"/>
  <c r="D191" i="3"/>
  <c r="D182" i="3"/>
  <c r="D196" i="3"/>
  <c r="D107" i="3"/>
  <c r="D179" i="3"/>
  <c r="I14" i="10"/>
  <c r="H13" i="10"/>
  <c r="L426" i="2"/>
  <c r="L429" i="2"/>
  <c r="K434" i="2"/>
  <c r="K431" i="2" s="1"/>
  <c r="I29" i="10" s="1"/>
  <c r="H23" i="10"/>
  <c r="I23" i="10"/>
  <c r="J23" i="10"/>
  <c r="H24" i="10"/>
  <c r="I24" i="10"/>
  <c r="J24" i="10"/>
  <c r="G180" i="1"/>
  <c r="H180" i="1"/>
  <c r="I180" i="1"/>
  <c r="G164" i="1"/>
  <c r="H164" i="1"/>
  <c r="I164" i="1"/>
  <c r="G167" i="1"/>
  <c r="H167" i="1"/>
  <c r="I167" i="1"/>
  <c r="G152" i="1"/>
  <c r="H152" i="1"/>
  <c r="I152" i="1"/>
  <c r="D71" i="1"/>
  <c r="E71" i="1"/>
  <c r="F71" i="1"/>
  <c r="G71" i="1"/>
  <c r="H71" i="1"/>
  <c r="I71" i="1"/>
  <c r="C81" i="1"/>
  <c r="D81" i="1"/>
  <c r="E81" i="1"/>
  <c r="F81" i="1"/>
  <c r="C152" i="1"/>
  <c r="C165" i="1" s="1"/>
  <c r="D152" i="1"/>
  <c r="E152" i="1"/>
  <c r="F152" i="1"/>
  <c r="B164" i="1"/>
  <c r="B165" i="1" s="1"/>
  <c r="C164" i="1"/>
  <c r="D164" i="1"/>
  <c r="E164" i="1"/>
  <c r="F164" i="1"/>
  <c r="J164" i="1"/>
  <c r="C167" i="1"/>
  <c r="D167" i="1"/>
  <c r="E167" i="1"/>
  <c r="F167" i="1"/>
  <c r="B180" i="1"/>
  <c r="C180" i="1"/>
  <c r="D180" i="1"/>
  <c r="E180" i="1"/>
  <c r="F180" i="1"/>
  <c r="J180" i="1"/>
  <c r="D165" i="1"/>
  <c r="J152" i="1"/>
  <c r="J167" i="1"/>
  <c r="L118" i="4"/>
  <c r="L117" i="4" s="1"/>
  <c r="K118" i="4"/>
  <c r="K117" i="4" s="1"/>
  <c r="J118" i="4"/>
  <c r="J117" i="4" s="1"/>
  <c r="L155" i="6"/>
  <c r="L154" i="6" s="1"/>
  <c r="K155" i="6"/>
  <c r="K154" i="6" s="1"/>
  <c r="J155" i="6"/>
  <c r="J154" i="6" s="1"/>
  <c r="K140" i="6"/>
  <c r="L136" i="6"/>
  <c r="L135" i="6" s="1"/>
  <c r="L287" i="6" s="1"/>
  <c r="K136" i="6"/>
  <c r="K135" i="6" s="1"/>
  <c r="K287" i="6" s="1"/>
  <c r="J8" i="13"/>
  <c r="J15" i="13"/>
  <c r="K15" i="13"/>
  <c r="J21" i="13"/>
  <c r="J18" i="13" s="1"/>
  <c r="K21" i="13"/>
  <c r="K18" i="13" s="1"/>
  <c r="K107" i="13" s="1"/>
  <c r="K88" i="13" s="1"/>
  <c r="K87" i="13" s="1"/>
  <c r="K86" i="13" s="1"/>
  <c r="K8" i="13"/>
  <c r="L8" i="13"/>
  <c r="J11" i="13"/>
  <c r="K255" i="9"/>
  <c r="J259" i="9"/>
  <c r="G66" i="1" s="1"/>
  <c r="K259" i="9"/>
  <c r="H66" i="1" s="1"/>
  <c r="L259" i="9"/>
  <c r="I66" i="1" s="1"/>
  <c r="J260" i="9"/>
  <c r="J257" i="9" s="1"/>
  <c r="J256" i="9" s="1"/>
  <c r="K260" i="9"/>
  <c r="K257" i="9" s="1"/>
  <c r="K256" i="9" s="1"/>
  <c r="L260" i="9"/>
  <c r="L257" i="9" s="1"/>
  <c r="L256" i="9" s="1"/>
  <c r="L10" i="9"/>
  <c r="K14" i="9"/>
  <c r="K20" i="9"/>
  <c r="K17" i="9" s="1"/>
  <c r="L20" i="9"/>
  <c r="L17" i="9" s="1"/>
  <c r="J20" i="9"/>
  <c r="J17" i="9" s="1"/>
  <c r="J7" i="7"/>
  <c r="L7" i="7"/>
  <c r="J12" i="7"/>
  <c r="K12" i="7"/>
  <c r="L12" i="7"/>
  <c r="J14" i="7"/>
  <c r="K14" i="7"/>
  <c r="L14" i="7"/>
  <c r="J17" i="7"/>
  <c r="K17" i="7"/>
  <c r="L17" i="7"/>
  <c r="J19" i="7"/>
  <c r="K19" i="7"/>
  <c r="L19" i="7"/>
  <c r="J12" i="4"/>
  <c r="K12" i="4"/>
  <c r="L12" i="4"/>
  <c r="G67" i="1"/>
  <c r="H67" i="1"/>
  <c r="L16" i="4"/>
  <c r="J17" i="4"/>
  <c r="G68" i="1" s="1"/>
  <c r="G123" i="1" s="1"/>
  <c r="G185" i="1" s="1"/>
  <c r="K17" i="4"/>
  <c r="L17" i="4"/>
  <c r="I68" i="1" s="1"/>
  <c r="I123" i="1" s="1"/>
  <c r="I185" i="1" s="1"/>
  <c r="J18" i="4"/>
  <c r="G70" i="1" s="1"/>
  <c r="K18" i="4"/>
  <c r="H70" i="1" s="1"/>
  <c r="L18" i="4"/>
  <c r="I70" i="1" s="1"/>
  <c r="J20" i="4"/>
  <c r="G69" i="1" s="1"/>
  <c r="K20" i="4"/>
  <c r="H69" i="1" s="1"/>
  <c r="L20" i="4"/>
  <c r="I69" i="1" s="1"/>
  <c r="J22" i="4"/>
  <c r="G74" i="1" s="1"/>
  <c r="G73" i="1" s="1"/>
  <c r="K22" i="4"/>
  <c r="L22" i="4"/>
  <c r="I74" i="1" s="1"/>
  <c r="I73" i="1" s="1"/>
  <c r="J25" i="4"/>
  <c r="G77" i="1" s="1"/>
  <c r="K25" i="4"/>
  <c r="H77" i="1" s="1"/>
  <c r="L25" i="4"/>
  <c r="I77" i="1" s="1"/>
  <c r="J26" i="4"/>
  <c r="G78" i="1" s="1"/>
  <c r="K26" i="4"/>
  <c r="H78" i="1" s="1"/>
  <c r="L26" i="4"/>
  <c r="I78" i="1" s="1"/>
  <c r="J28" i="4"/>
  <c r="G83" i="1" s="1"/>
  <c r="G82" i="1" s="1"/>
  <c r="K28" i="4"/>
  <c r="H83" i="1" s="1"/>
  <c r="H82" i="1" s="1"/>
  <c r="L28" i="4"/>
  <c r="I83" i="1" s="1"/>
  <c r="I82" i="1" s="1"/>
  <c r="J90" i="4"/>
  <c r="J89" i="4" s="1"/>
  <c r="K90" i="4"/>
  <c r="K89" i="4" s="1"/>
  <c r="L90" i="4"/>
  <c r="L89" i="4" s="1"/>
  <c r="J15" i="5"/>
  <c r="K15" i="5"/>
  <c r="K14" i="5" s="1"/>
  <c r="L15" i="5"/>
  <c r="K27" i="4"/>
  <c r="K16" i="7"/>
  <c r="L11" i="7"/>
  <c r="J11" i="7"/>
  <c r="J21" i="4"/>
  <c r="K21" i="4"/>
  <c r="H74" i="1"/>
  <c r="H73" i="1" s="1"/>
  <c r="L16" i="5"/>
  <c r="J16" i="5"/>
  <c r="K16" i="5"/>
  <c r="L14" i="5"/>
  <c r="J14" i="5"/>
  <c r="J13" i="5" s="1"/>
  <c r="J19" i="5"/>
  <c r="J18" i="5"/>
  <c r="K19" i="5"/>
  <c r="K18" i="5"/>
  <c r="L19" i="5"/>
  <c r="L18" i="5"/>
  <c r="L14" i="4"/>
  <c r="L10" i="4"/>
  <c r="J10" i="4"/>
  <c r="K10" i="4"/>
  <c r="L10" i="7"/>
  <c r="J10" i="7"/>
  <c r="L16" i="7"/>
  <c r="J16" i="7"/>
  <c r="J18" i="3"/>
  <c r="L18" i="3"/>
  <c r="J220" i="3"/>
  <c r="K220" i="3"/>
  <c r="L220" i="3"/>
  <c r="J218" i="3"/>
  <c r="J217" i="3" s="1"/>
  <c r="K218" i="3"/>
  <c r="L218" i="3"/>
  <c r="J215" i="3"/>
  <c r="K215" i="3"/>
  <c r="L215" i="3"/>
  <c r="J212" i="3"/>
  <c r="K212" i="3"/>
  <c r="K211" i="3" s="1"/>
  <c r="L212" i="3"/>
  <c r="L10" i="8"/>
  <c r="L13" i="8"/>
  <c r="L14" i="8"/>
  <c r="L15" i="8"/>
  <c r="I20" i="1" s="1"/>
  <c r="L16" i="8"/>
  <c r="L18" i="8"/>
  <c r="I27" i="1" s="1"/>
  <c r="L19" i="8"/>
  <c r="L20" i="8"/>
  <c r="I30" i="1" s="1"/>
  <c r="I130" i="1" s="1"/>
  <c r="I192" i="1" s="1"/>
  <c r="L21" i="8"/>
  <c r="L24" i="8"/>
  <c r="L25" i="8"/>
  <c r="I36" i="1" s="1"/>
  <c r="I141" i="1" s="1"/>
  <c r="I203" i="1" s="1"/>
  <c r="L26" i="8"/>
  <c r="L27" i="8"/>
  <c r="I35" i="1" s="1"/>
  <c r="I136" i="1" s="1"/>
  <c r="I198" i="1" s="1"/>
  <c r="L30" i="8"/>
  <c r="L31" i="8"/>
  <c r="I44" i="1" s="1"/>
  <c r="I142" i="1" s="1"/>
  <c r="I204" i="1" s="1"/>
  <c r="L32" i="8"/>
  <c r="J9" i="8"/>
  <c r="J10" i="8"/>
  <c r="J8" i="8" s="1"/>
  <c r="K10" i="8"/>
  <c r="J13" i="8"/>
  <c r="K13" i="8"/>
  <c r="J14" i="8"/>
  <c r="K14" i="8"/>
  <c r="J15" i="8"/>
  <c r="G20" i="1" s="1"/>
  <c r="G125" i="1" s="1"/>
  <c r="G191" i="1" s="1"/>
  <c r="K15" i="8"/>
  <c r="H20" i="1" s="1"/>
  <c r="H125" i="1" s="1"/>
  <c r="H191" i="1" s="1"/>
  <c r="J16" i="8"/>
  <c r="J12" i="8" s="1"/>
  <c r="K16" i="8"/>
  <c r="J18" i="8"/>
  <c r="G27" i="1" s="1"/>
  <c r="K18" i="8"/>
  <c r="H27" i="1" s="1"/>
  <c r="J19" i="8"/>
  <c r="K19" i="8"/>
  <c r="J20" i="8"/>
  <c r="G30" i="1" s="1"/>
  <c r="G130" i="1" s="1"/>
  <c r="G192" i="1" s="1"/>
  <c r="K20" i="8"/>
  <c r="H30" i="1" s="1"/>
  <c r="H130" i="1" s="1"/>
  <c r="H192" i="1" s="1"/>
  <c r="J21" i="8"/>
  <c r="K21" i="8"/>
  <c r="J24" i="8"/>
  <c r="K24" i="8"/>
  <c r="J25" i="8"/>
  <c r="G36" i="1" s="1"/>
  <c r="G141" i="1" s="1"/>
  <c r="G203" i="1" s="1"/>
  <c r="K25" i="8"/>
  <c r="H36" i="1" s="1"/>
  <c r="J26" i="8"/>
  <c r="K26" i="8"/>
  <c r="J27" i="8"/>
  <c r="G136" i="1"/>
  <c r="G198" i="1" s="1"/>
  <c r="K27" i="8"/>
  <c r="H35" i="1" s="1"/>
  <c r="J30" i="8"/>
  <c r="K30" i="8"/>
  <c r="J31" i="8"/>
  <c r="G44" i="1" s="1"/>
  <c r="G142" i="1" s="1"/>
  <c r="G204" i="1" s="1"/>
  <c r="K31" i="8"/>
  <c r="H44" i="1" s="1"/>
  <c r="H142" i="1" s="1"/>
  <c r="H204" i="1" s="1"/>
  <c r="J32" i="8"/>
  <c r="K32" i="8"/>
  <c r="E25" i="8"/>
  <c r="E27" i="8"/>
  <c r="E18" i="8"/>
  <c r="K426" i="2"/>
  <c r="J429" i="2"/>
  <c r="K429" i="2"/>
  <c r="J434" i="2"/>
  <c r="L434" i="2"/>
  <c r="J536" i="2"/>
  <c r="K536" i="2"/>
  <c r="L536" i="2"/>
  <c r="J537" i="2"/>
  <c r="J14" i="2" s="1"/>
  <c r="K537" i="2"/>
  <c r="K14" i="2" s="1"/>
  <c r="L537" i="2"/>
  <c r="J538" i="2"/>
  <c r="K538" i="2"/>
  <c r="K16" i="2" s="1"/>
  <c r="L538" i="2"/>
  <c r="J540" i="2"/>
  <c r="K540" i="2"/>
  <c r="L540" i="2"/>
  <c r="J541" i="2"/>
  <c r="J21" i="2" s="1"/>
  <c r="G28" i="1" s="1"/>
  <c r="G131" i="1" s="1"/>
  <c r="G193" i="1" s="1"/>
  <c r="K541" i="2"/>
  <c r="K21" i="2" s="1"/>
  <c r="H28" i="1" s="1"/>
  <c r="H131" i="1" s="1"/>
  <c r="H193" i="1" s="1"/>
  <c r="L541" i="2"/>
  <c r="L21" i="2" s="1"/>
  <c r="J544" i="2"/>
  <c r="J24" i="2" s="1"/>
  <c r="G34" i="1" s="1"/>
  <c r="K544" i="2"/>
  <c r="K24" i="2" s="1"/>
  <c r="H34" i="1" s="1"/>
  <c r="L544" i="2"/>
  <c r="J545" i="2"/>
  <c r="J543" i="2" s="1"/>
  <c r="K545" i="2"/>
  <c r="L545" i="2"/>
  <c r="L26" i="2" s="1"/>
  <c r="J547" i="2"/>
  <c r="K547" i="2"/>
  <c r="K546" i="2" s="1"/>
  <c r="L547" i="2"/>
  <c r="J548" i="2"/>
  <c r="J33" i="2" s="1"/>
  <c r="G43" i="1" s="1"/>
  <c r="G146" i="1" s="1"/>
  <c r="G208" i="1" s="1"/>
  <c r="K548" i="2"/>
  <c r="K33" i="2" s="1"/>
  <c r="H43" i="1" s="1"/>
  <c r="H146" i="1" s="1"/>
  <c r="H208" i="1" s="1"/>
  <c r="L548" i="2"/>
  <c r="L33" i="2" s="1"/>
  <c r="I43" i="1" s="1"/>
  <c r="I146" i="1" s="1"/>
  <c r="I208" i="1" s="1"/>
  <c r="J579" i="2"/>
  <c r="J578" i="2" s="1"/>
  <c r="K579" i="2"/>
  <c r="K578" i="2" s="1"/>
  <c r="L579" i="2"/>
  <c r="J581" i="2"/>
  <c r="K581" i="2"/>
  <c r="L581" i="2"/>
  <c r="J584" i="2"/>
  <c r="J583" i="2" s="1"/>
  <c r="J582" i="2" s="1"/>
  <c r="K584" i="2"/>
  <c r="K583" i="2" s="1"/>
  <c r="K582" i="2" s="1"/>
  <c r="L584" i="2"/>
  <c r="L583" i="2" s="1"/>
  <c r="L582" i="2" s="1"/>
  <c r="L39" i="2"/>
  <c r="L17" i="2" s="1"/>
  <c r="I24" i="1" s="1"/>
  <c r="I129" i="1" s="1"/>
  <c r="I190" i="1" s="1"/>
  <c r="L41" i="2"/>
  <c r="L46" i="2"/>
  <c r="L27" i="2" s="1"/>
  <c r="I39" i="1" s="1"/>
  <c r="I143" i="1" s="1"/>
  <c r="I205" i="1" s="1"/>
  <c r="L47" i="2"/>
  <c r="L50" i="2"/>
  <c r="L30" i="2" s="1"/>
  <c r="J39" i="2"/>
  <c r="J17" i="2" s="1"/>
  <c r="G24" i="1" s="1"/>
  <c r="G129" i="1" s="1"/>
  <c r="G190" i="1" s="1"/>
  <c r="K39" i="2"/>
  <c r="K17" i="2" s="1"/>
  <c r="H24" i="1" s="1"/>
  <c r="H129" i="1" s="1"/>
  <c r="H190" i="1" s="1"/>
  <c r="J41" i="2"/>
  <c r="J25" i="2"/>
  <c r="K25" i="2"/>
  <c r="J46" i="2"/>
  <c r="J27" i="2" s="1"/>
  <c r="G39" i="1" s="1"/>
  <c r="G143" i="1" s="1"/>
  <c r="G205" i="1" s="1"/>
  <c r="K46" i="2"/>
  <c r="J47" i="2"/>
  <c r="J28" i="2" s="1"/>
  <c r="G40" i="1" s="1"/>
  <c r="G144" i="1" s="1"/>
  <c r="G206" i="1" s="1"/>
  <c r="K47" i="2"/>
  <c r="K28" i="2" s="1"/>
  <c r="H40" i="1" s="1"/>
  <c r="H144" i="1" s="1"/>
  <c r="H206" i="1" s="1"/>
  <c r="J50" i="2"/>
  <c r="J30" i="2" s="1"/>
  <c r="K50" i="2"/>
  <c r="K32" i="2"/>
  <c r="L28" i="2"/>
  <c r="I40" i="1" s="1"/>
  <c r="I144" i="1" s="1"/>
  <c r="I206" i="1" s="1"/>
  <c r="D581" i="2"/>
  <c r="D580" i="2" s="1"/>
  <c r="D537" i="2"/>
  <c r="L25" i="2"/>
  <c r="I37" i="1" s="1"/>
  <c r="L431" i="2"/>
  <c r="J29" i="10" s="1"/>
  <c r="J431" i="2"/>
  <c r="H29" i="10" s="1"/>
  <c r="K15" i="2"/>
  <c r="H21" i="1" s="1"/>
  <c r="L15" i="2"/>
  <c r="I21" i="1" s="1"/>
  <c r="L20" i="2"/>
  <c r="J20" i="2"/>
  <c r="H37" i="1"/>
  <c r="G37" i="1"/>
  <c r="L217" i="3"/>
  <c r="K539" i="2"/>
  <c r="K425" i="2"/>
  <c r="I28" i="10" s="1"/>
  <c r="J546" i="2"/>
  <c r="L539" i="2"/>
  <c r="L211" i="3"/>
  <c r="J211" i="3"/>
  <c r="J29" i="8"/>
  <c r="J17" i="8"/>
  <c r="L17" i="8"/>
  <c r="K23" i="8"/>
  <c r="K17" i="8"/>
  <c r="K12" i="8"/>
  <c r="L23" i="8"/>
  <c r="K11" i="8"/>
  <c r="G218" i="3"/>
  <c r="H218" i="3"/>
  <c r="I218" i="3"/>
  <c r="G220" i="3"/>
  <c r="G217" i="3" s="1"/>
  <c r="H220" i="3"/>
  <c r="I220" i="3"/>
  <c r="I217" i="3" s="1"/>
  <c r="G215" i="3"/>
  <c r="H215" i="3"/>
  <c r="I215" i="3"/>
  <c r="G212" i="3"/>
  <c r="G211" i="3" s="1"/>
  <c r="H212" i="3"/>
  <c r="I212" i="3"/>
  <c r="I211" i="3" s="1"/>
  <c r="H217" i="3"/>
  <c r="M109" i="6"/>
  <c r="M141" i="6"/>
  <c r="M140" i="6" s="1"/>
  <c r="I140" i="6"/>
  <c r="G140" i="6"/>
  <c r="M122" i="6"/>
  <c r="M17" i="6" s="1"/>
  <c r="G125" i="6"/>
  <c r="I155" i="6"/>
  <c r="I154" i="6" s="1"/>
  <c r="H155" i="6"/>
  <c r="G155" i="6"/>
  <c r="G154" i="6" s="1"/>
  <c r="F155" i="6"/>
  <c r="F154" i="6" s="1"/>
  <c r="H154" i="6"/>
  <c r="I136" i="6"/>
  <c r="I135" i="6" s="1"/>
  <c r="G136" i="6"/>
  <c r="G135" i="6" s="1"/>
  <c r="I12" i="4"/>
  <c r="G12" i="4"/>
  <c r="G10" i="4" s="1"/>
  <c r="H12" i="4"/>
  <c r="M44" i="13"/>
  <c r="M47" i="13"/>
  <c r="M46" i="13" s="1"/>
  <c r="M26" i="13"/>
  <c r="M95" i="8"/>
  <c r="M122" i="8"/>
  <c r="M198" i="8"/>
  <c r="M187" i="8"/>
  <c r="M132" i="8"/>
  <c r="M131" i="8" s="1"/>
  <c r="M130" i="8" s="1"/>
  <c r="M109" i="8"/>
  <c r="M107" i="8" s="1"/>
  <c r="M108" i="8"/>
  <c r="M18" i="8" s="1"/>
  <c r="M106" i="8"/>
  <c r="M105" i="8"/>
  <c r="M104" i="8" s="1"/>
  <c r="M103" i="8" s="1"/>
  <c r="M94" i="8"/>
  <c r="M92" i="8"/>
  <c r="M42" i="8"/>
  <c r="M41" i="8"/>
  <c r="M40" i="8"/>
  <c r="M38" i="8"/>
  <c r="M37" i="8"/>
  <c r="M36" i="8"/>
  <c r="M35" i="7"/>
  <c r="M47" i="7"/>
  <c r="M59" i="7"/>
  <c r="M71" i="7"/>
  <c r="M83" i="7"/>
  <c r="M82" i="7"/>
  <c r="M80" i="7" s="1"/>
  <c r="M79" i="7" s="1"/>
  <c r="M70" i="7"/>
  <c r="M68" i="7" s="1"/>
  <c r="M67" i="7" s="1"/>
  <c r="M57" i="7"/>
  <c r="M56" i="7" s="1"/>
  <c r="M55" i="7" s="1"/>
  <c r="M45" i="7"/>
  <c r="M9" i="7" s="1"/>
  <c r="M7" i="7" s="1"/>
  <c r="M32" i="7"/>
  <c r="M31" i="7"/>
  <c r="M14" i="7"/>
  <c r="M108" i="6"/>
  <c r="M107" i="6"/>
  <c r="M106" i="6" s="1"/>
  <c r="M97" i="6"/>
  <c r="M95" i="6"/>
  <c r="M86" i="6"/>
  <c r="M84" i="6"/>
  <c r="M65" i="6"/>
  <c r="M64" i="6" s="1"/>
  <c r="M123" i="4"/>
  <c r="M122" i="4" s="1"/>
  <c r="M109" i="4"/>
  <c r="M98" i="4"/>
  <c r="M95" i="4"/>
  <c r="M94" i="4" s="1"/>
  <c r="M85" i="4"/>
  <c r="M84" i="4" s="1"/>
  <c r="M46" i="4"/>
  <c r="M20" i="4"/>
  <c r="M557" i="2"/>
  <c r="M711" i="2"/>
  <c r="M710" i="2" s="1"/>
  <c r="M663" i="2"/>
  <c r="M662" i="2" s="1"/>
  <c r="M657" i="2"/>
  <c r="M656" i="2"/>
  <c r="M655" i="2" s="1"/>
  <c r="M654" i="2" s="1"/>
  <c r="M648" i="2"/>
  <c r="M647" i="2" s="1"/>
  <c r="M642" i="2"/>
  <c r="M641" i="2"/>
  <c r="M636" i="2"/>
  <c r="M635" i="2" s="1"/>
  <c r="M624" i="2"/>
  <c r="M623" i="2" s="1"/>
  <c r="M590" i="2"/>
  <c r="M589" i="2" s="1"/>
  <c r="M588" i="2"/>
  <c r="M587" i="2" s="1"/>
  <c r="M572" i="2"/>
  <c r="M571" i="2" s="1"/>
  <c r="M570" i="2"/>
  <c r="M569" i="2" s="1"/>
  <c r="M556" i="2"/>
  <c r="M552" i="2"/>
  <c r="M554" i="2"/>
  <c r="M553" i="2"/>
  <c r="M450" i="2"/>
  <c r="M441" i="2"/>
  <c r="M440" i="2" s="1"/>
  <c r="M439" i="2"/>
  <c r="M438" i="2" s="1"/>
  <c r="M379" i="2"/>
  <c r="M376" i="2"/>
  <c r="M256" i="2"/>
  <c r="M252" i="2"/>
  <c r="M243" i="2"/>
  <c r="M229" i="2"/>
  <c r="M225" i="2"/>
  <c r="M218" i="2"/>
  <c r="M217" i="2" s="1"/>
  <c r="M202" i="2"/>
  <c r="M201" i="2" s="1"/>
  <c r="M200" i="2"/>
  <c r="M199" i="2" s="1"/>
  <c r="M192" i="2"/>
  <c r="M190" i="2"/>
  <c r="M181" i="2"/>
  <c r="M171" i="2"/>
  <c r="M169" i="2"/>
  <c r="M160" i="2"/>
  <c r="M158" i="2"/>
  <c r="M149" i="2"/>
  <c r="M128" i="2"/>
  <c r="M127" i="2" s="1"/>
  <c r="M126" i="2"/>
  <c r="M125" i="2" s="1"/>
  <c r="M116" i="2"/>
  <c r="M102" i="2"/>
  <c r="M59" i="2"/>
  <c r="M57" i="2" s="1"/>
  <c r="M56" i="2"/>
  <c r="M55" i="2"/>
  <c r="K136" i="1"/>
  <c r="K137" i="1"/>
  <c r="K138" i="1"/>
  <c r="K139" i="1"/>
  <c r="K140" i="1"/>
  <c r="K141" i="1"/>
  <c r="K142" i="1"/>
  <c r="K143" i="1"/>
  <c r="K144" i="1"/>
  <c r="K145" i="1"/>
  <c r="K146" i="1"/>
  <c r="K147" i="1"/>
  <c r="M119" i="8"/>
  <c r="M118" i="8" s="1"/>
  <c r="M196" i="8"/>
  <c r="M195" i="8" s="1"/>
  <c r="M93" i="8"/>
  <c r="M240" i="2"/>
  <c r="M75" i="6"/>
  <c r="M72" i="6" s="1"/>
  <c r="M105" i="4"/>
  <c r="M104" i="4" s="1"/>
  <c r="M375" i="2"/>
  <c r="M82" i="2"/>
  <c r="M39" i="8"/>
  <c r="K164" i="1"/>
  <c r="M42" i="4"/>
  <c r="M41" i="4" s="1"/>
  <c r="M182" i="8"/>
  <c r="M181" i="8" s="1"/>
  <c r="M35" i="8"/>
  <c r="M113" i="2"/>
  <c r="M112" i="2" s="1"/>
  <c r="M178" i="2"/>
  <c r="M224" i="2"/>
  <c r="M555" i="2"/>
  <c r="M30" i="6"/>
  <c r="M278" i="6"/>
  <c r="M277" i="6" s="1"/>
  <c r="M168" i="2"/>
  <c r="M99" i="2"/>
  <c r="K152" i="1"/>
  <c r="M34" i="8"/>
  <c r="K165" i="1"/>
  <c r="M75" i="9"/>
  <c r="M74" i="9" s="1"/>
  <c r="M68" i="9"/>
  <c r="M67" i="9" s="1"/>
  <c r="M43" i="9"/>
  <c r="M274" i="9"/>
  <c r="M273" i="9" s="1"/>
  <c r="M102" i="9"/>
  <c r="M99" i="9" s="1"/>
  <c r="M93" i="9"/>
  <c r="M84" i="9"/>
  <c r="M81" i="9" s="1"/>
  <c r="M53" i="9"/>
  <c r="M52" i="9" s="1"/>
  <c r="M51" i="9" s="1"/>
  <c r="M45" i="9"/>
  <c r="M36" i="9"/>
  <c r="M34" i="9"/>
  <c r="M27" i="9"/>
  <c r="M25" i="9"/>
  <c r="M112" i="5"/>
  <c r="M111" i="5" s="1"/>
  <c r="M52" i="5"/>
  <c r="M51" i="5"/>
  <c r="M46" i="5"/>
  <c r="M45" i="5" s="1"/>
  <c r="M44" i="5" s="1"/>
  <c r="M36" i="5"/>
  <c r="M102" i="5"/>
  <c r="M99" i="5"/>
  <c r="M98" i="5" s="1"/>
  <c r="M92" i="5"/>
  <c r="M91" i="5" s="1"/>
  <c r="M90" i="5" s="1"/>
  <c r="M74" i="5"/>
  <c r="M34" i="5"/>
  <c r="M33" i="5" s="1"/>
  <c r="D100" i="3"/>
  <c r="M204" i="3"/>
  <c r="M203" i="3" s="1"/>
  <c r="M192" i="3"/>
  <c r="M180" i="3"/>
  <c r="M178" i="3"/>
  <c r="M176" i="3" s="1"/>
  <c r="M132" i="3"/>
  <c r="M131" i="3" s="1"/>
  <c r="M129" i="3"/>
  <c r="M108" i="3"/>
  <c r="M107" i="3" s="1"/>
  <c r="M105" i="3"/>
  <c r="M96" i="3"/>
  <c r="M95" i="3" s="1"/>
  <c r="M94" i="3"/>
  <c r="M93" i="3"/>
  <c r="M84" i="3"/>
  <c r="M82" i="3"/>
  <c r="M81" i="3"/>
  <c r="M43" i="3"/>
  <c r="M37" i="3"/>
  <c r="M26" i="3"/>
  <c r="M25" i="3" s="1"/>
  <c r="M24" i="3" s="1"/>
  <c r="M214" i="3"/>
  <c r="M202" i="3"/>
  <c r="M201" i="3"/>
  <c r="M191" i="3"/>
  <c r="M190" i="3"/>
  <c r="M179" i="3"/>
  <c r="M154" i="3"/>
  <c r="M144" i="3"/>
  <c r="M143" i="3" s="1"/>
  <c r="M142" i="3"/>
  <c r="M141" i="3"/>
  <c r="M130" i="3"/>
  <c r="M128" i="3" s="1"/>
  <c r="M127" i="3" s="1"/>
  <c r="M120" i="3"/>
  <c r="M119" i="3" s="1"/>
  <c r="M118" i="3"/>
  <c r="M116" i="3" s="1"/>
  <c r="M106" i="3"/>
  <c r="M104" i="3" s="1"/>
  <c r="M103" i="3" s="1"/>
  <c r="M83" i="3"/>
  <c r="M200" i="3"/>
  <c r="F18" i="4"/>
  <c r="C70" i="1" s="1"/>
  <c r="M266" i="9"/>
  <c r="M265" i="9" s="1"/>
  <c r="M23" i="7"/>
  <c r="M22" i="7" s="1"/>
  <c r="G87" i="8"/>
  <c r="G85" i="8"/>
  <c r="G84" i="8" s="1"/>
  <c r="F16" i="4"/>
  <c r="F11" i="4"/>
  <c r="F10" i="4" s="1"/>
  <c r="I141" i="9"/>
  <c r="H141" i="9"/>
  <c r="G141" i="9"/>
  <c r="F141" i="9"/>
  <c r="I140" i="9"/>
  <c r="F140" i="9"/>
  <c r="I96" i="9"/>
  <c r="I95" i="9" s="1"/>
  <c r="H96" i="9"/>
  <c r="H95" i="9" s="1"/>
  <c r="G96" i="9"/>
  <c r="G95" i="9" s="1"/>
  <c r="F96" i="9"/>
  <c r="F95" i="9" s="1"/>
  <c r="E96" i="9"/>
  <c r="E95" i="9" s="1"/>
  <c r="I30" i="8"/>
  <c r="H30" i="8"/>
  <c r="I24" i="8"/>
  <c r="H24" i="8"/>
  <c r="I21" i="8"/>
  <c r="I19" i="8"/>
  <c r="H19" i="8"/>
  <c r="I14" i="8"/>
  <c r="H14" i="8"/>
  <c r="F453" i="2"/>
  <c r="D538" i="2"/>
  <c r="I15" i="8"/>
  <c r="F20" i="1" s="1"/>
  <c r="F125" i="1" s="1"/>
  <c r="F191" i="1" s="1"/>
  <c r="I25" i="8"/>
  <c r="F36" i="1" s="1"/>
  <c r="I31" i="8"/>
  <c r="F44" i="1" s="1"/>
  <c r="F142" i="1" s="1"/>
  <c r="F204" i="1" s="1"/>
  <c r="H31" i="8"/>
  <c r="E44" i="1" s="1"/>
  <c r="E142" i="1" s="1"/>
  <c r="E204" i="1" s="1"/>
  <c r="G31" i="8"/>
  <c r="D44" i="1" s="1"/>
  <c r="D142" i="1" s="1"/>
  <c r="D204" i="1" s="1"/>
  <c r="F31" i="8"/>
  <c r="C44" i="1" s="1"/>
  <c r="C142" i="1" s="1"/>
  <c r="C204" i="1" s="1"/>
  <c r="H25" i="8"/>
  <c r="E36" i="1" s="1"/>
  <c r="E141" i="1" s="1"/>
  <c r="E203" i="1" s="1"/>
  <c r="G25" i="8"/>
  <c r="D36" i="1" s="1"/>
  <c r="F25" i="8"/>
  <c r="C36" i="1" s="1"/>
  <c r="C141" i="1" s="1"/>
  <c r="C203" i="1" s="1"/>
  <c r="I20" i="8"/>
  <c r="F30" i="1" s="1"/>
  <c r="F130" i="1" s="1"/>
  <c r="F192" i="1" s="1"/>
  <c r="H20" i="8"/>
  <c r="E30" i="1" s="1"/>
  <c r="E130" i="1" s="1"/>
  <c r="E192" i="1" s="1"/>
  <c r="G20" i="8"/>
  <c r="D30" i="1" s="1"/>
  <c r="D130" i="1" s="1"/>
  <c r="D192" i="1" s="1"/>
  <c r="F20" i="8"/>
  <c r="C30" i="1" s="1"/>
  <c r="H15" i="8"/>
  <c r="E20" i="1" s="1"/>
  <c r="E125" i="1" s="1"/>
  <c r="E191" i="1" s="1"/>
  <c r="G15" i="8"/>
  <c r="D20" i="1" s="1"/>
  <c r="D125" i="1" s="1"/>
  <c r="D191" i="1" s="1"/>
  <c r="F15" i="8"/>
  <c r="C20" i="1" s="1"/>
  <c r="E59" i="9"/>
  <c r="F379" i="2"/>
  <c r="F384" i="2"/>
  <c r="F376" i="2"/>
  <c r="M216" i="2"/>
  <c r="M215" i="2" s="1"/>
  <c r="M214" i="2" s="1"/>
  <c r="M153" i="8"/>
  <c r="H138" i="8"/>
  <c r="H141" i="8"/>
  <c r="H144" i="8"/>
  <c r="H147" i="8"/>
  <c r="G139" i="8"/>
  <c r="M139" i="8" s="1"/>
  <c r="F139" i="8"/>
  <c r="G24" i="8"/>
  <c r="G14" i="8"/>
  <c r="G19" i="8"/>
  <c r="G30" i="8"/>
  <c r="H143" i="8"/>
  <c r="H217" i="8" s="1"/>
  <c r="M156" i="8"/>
  <c r="F14" i="8"/>
  <c r="M141" i="8"/>
  <c r="F19" i="8"/>
  <c r="F24" i="8"/>
  <c r="F30" i="8"/>
  <c r="M154" i="8"/>
  <c r="F276" i="2"/>
  <c r="F271" i="2"/>
  <c r="F268" i="2"/>
  <c r="D275" i="2"/>
  <c r="D270" i="2"/>
  <c r="F256" i="2"/>
  <c r="F260" i="2"/>
  <c r="F263" i="2"/>
  <c r="D264" i="2"/>
  <c r="D261" i="2"/>
  <c r="M152" i="8"/>
  <c r="M155" i="8"/>
  <c r="M151" i="8" s="1"/>
  <c r="G16" i="8"/>
  <c r="H16" i="8"/>
  <c r="I16" i="8"/>
  <c r="H13" i="8"/>
  <c r="I13" i="8"/>
  <c r="F118" i="4"/>
  <c r="G118" i="4"/>
  <c r="G117" i="4" s="1"/>
  <c r="H118" i="4"/>
  <c r="H117" i="4" s="1"/>
  <c r="I118" i="4"/>
  <c r="I117" i="4" s="1"/>
  <c r="I123" i="4"/>
  <c r="H123" i="4"/>
  <c r="G123" i="4"/>
  <c r="F123" i="4"/>
  <c r="I122" i="4"/>
  <c r="H122" i="4"/>
  <c r="G122" i="4"/>
  <c r="F122" i="4"/>
  <c r="F117" i="4"/>
  <c r="F232" i="2"/>
  <c r="F235" i="2"/>
  <c r="M16" i="5"/>
  <c r="D228" i="2"/>
  <c r="D227" i="2"/>
  <c r="D55" i="5"/>
  <c r="D54" i="5" s="1"/>
  <c r="I55" i="5"/>
  <c r="I54" i="5"/>
  <c r="H55" i="5"/>
  <c r="H54" i="5"/>
  <c r="G55" i="5"/>
  <c r="G54" i="5"/>
  <c r="F55" i="5"/>
  <c r="F54" i="5"/>
  <c r="D52" i="5"/>
  <c r="D51" i="5" s="1"/>
  <c r="I52" i="5"/>
  <c r="H52" i="5"/>
  <c r="G52" i="5"/>
  <c r="F52" i="5"/>
  <c r="F51" i="5"/>
  <c r="E259" i="9"/>
  <c r="F259" i="9"/>
  <c r="C66" i="1" s="1"/>
  <c r="G259" i="9"/>
  <c r="D66" i="1" s="1"/>
  <c r="H259" i="9"/>
  <c r="E66" i="1" s="1"/>
  <c r="I259" i="9"/>
  <c r="F66" i="1" s="1"/>
  <c r="I265" i="9"/>
  <c r="I254" i="9" s="1"/>
  <c r="I274" i="9"/>
  <c r="I273" i="9" s="1"/>
  <c r="H274" i="9"/>
  <c r="H273" i="9" s="1"/>
  <c r="G274" i="9"/>
  <c r="G273" i="9" s="1"/>
  <c r="I277" i="9"/>
  <c r="I276" i="9" s="1"/>
  <c r="H277" i="9"/>
  <c r="H276" i="9" s="1"/>
  <c r="G277" i="9"/>
  <c r="D45" i="3"/>
  <c r="D544" i="2"/>
  <c r="M209" i="2"/>
  <c r="M208" i="2" s="1"/>
  <c r="M207" i="2" s="1"/>
  <c r="F678" i="2"/>
  <c r="G678" i="2"/>
  <c r="G677" i="2" s="1"/>
  <c r="D102" i="1" s="1"/>
  <c r="F22" i="4"/>
  <c r="G22" i="4"/>
  <c r="G21" i="4" s="1"/>
  <c r="H22" i="4"/>
  <c r="I22" i="4"/>
  <c r="I21" i="4" s="1"/>
  <c r="M59" i="8"/>
  <c r="M58" i="8"/>
  <c r="M19" i="8" s="1"/>
  <c r="M55" i="8"/>
  <c r="M54" i="8" s="1"/>
  <c r="M53" i="8" s="1"/>
  <c r="H21" i="4"/>
  <c r="F21" i="4"/>
  <c r="M57" i="8"/>
  <c r="I52" i="7"/>
  <c r="I50" i="7"/>
  <c r="I49" i="7" s="1"/>
  <c r="I47" i="7"/>
  <c r="I44" i="7"/>
  <c r="I43" i="7" s="1"/>
  <c r="H52" i="7"/>
  <c r="H50" i="7"/>
  <c r="H47" i="7"/>
  <c r="H44" i="7"/>
  <c r="H43" i="7" s="1"/>
  <c r="I64" i="7"/>
  <c r="I62" i="7"/>
  <c r="I59" i="7"/>
  <c r="I56" i="7"/>
  <c r="H64" i="7"/>
  <c r="H62" i="7"/>
  <c r="H61" i="7" s="1"/>
  <c r="H59" i="7"/>
  <c r="H56" i="7"/>
  <c r="H55" i="7" s="1"/>
  <c r="I88" i="7"/>
  <c r="I86" i="7"/>
  <c r="I85" i="7" s="1"/>
  <c r="I83" i="7"/>
  <c r="I80" i="7"/>
  <c r="H88" i="7"/>
  <c r="H86" i="7"/>
  <c r="H83" i="7"/>
  <c r="H80" i="7"/>
  <c r="I76" i="7"/>
  <c r="I74" i="7"/>
  <c r="I71" i="7"/>
  <c r="I68" i="7"/>
  <c r="H76" i="7"/>
  <c r="H74" i="7"/>
  <c r="H71" i="7"/>
  <c r="H68" i="7"/>
  <c r="I35" i="7"/>
  <c r="I32" i="7"/>
  <c r="H35" i="7"/>
  <c r="H32" i="7"/>
  <c r="H31" i="7" s="1"/>
  <c r="I40" i="7"/>
  <c r="I38" i="7"/>
  <c r="H40" i="7"/>
  <c r="H38" i="7"/>
  <c r="H23" i="7"/>
  <c r="H22" i="7"/>
  <c r="I23" i="7"/>
  <c r="I22" i="7"/>
  <c r="F7" i="7"/>
  <c r="G7" i="7"/>
  <c r="H7" i="7"/>
  <c r="I7" i="7"/>
  <c r="F12" i="7"/>
  <c r="C67" i="1" s="1"/>
  <c r="G12" i="7"/>
  <c r="D67" i="1" s="1"/>
  <c r="H12" i="7"/>
  <c r="E67" i="1" s="1"/>
  <c r="I12" i="7"/>
  <c r="F67" i="1" s="1"/>
  <c r="F14" i="7"/>
  <c r="G14" i="7"/>
  <c r="H14" i="7"/>
  <c r="I14" i="7"/>
  <c r="D80" i="1"/>
  <c r="D140" i="1" s="1"/>
  <c r="D202" i="1" s="1"/>
  <c r="F19" i="7"/>
  <c r="G19" i="7"/>
  <c r="H19" i="7"/>
  <c r="I19" i="7"/>
  <c r="H10" i="8"/>
  <c r="I10" i="8"/>
  <c r="I12" i="8"/>
  <c r="H18" i="8"/>
  <c r="E27" i="1" s="1"/>
  <c r="I18" i="8"/>
  <c r="F27" i="1" s="1"/>
  <c r="H21" i="8"/>
  <c r="H26" i="8"/>
  <c r="I26" i="8"/>
  <c r="H27" i="8"/>
  <c r="E198" i="1"/>
  <c r="I27" i="8"/>
  <c r="F136" i="1"/>
  <c r="F198" i="1" s="1"/>
  <c r="H32" i="8"/>
  <c r="I32" i="8"/>
  <c r="H37" i="7"/>
  <c r="H73" i="7"/>
  <c r="I67" i="7"/>
  <c r="I73" i="7"/>
  <c r="H79" i="7"/>
  <c r="H17" i="7"/>
  <c r="F17" i="7"/>
  <c r="F74" i="1"/>
  <c r="F73" i="1" s="1"/>
  <c r="I17" i="7"/>
  <c r="C74" i="1"/>
  <c r="E74" i="1"/>
  <c r="E73" i="1" s="1"/>
  <c r="I31" i="7"/>
  <c r="F11" i="7"/>
  <c r="I37" i="7"/>
  <c r="G11" i="7"/>
  <c r="G10" i="7" s="1"/>
  <c r="I79" i="7"/>
  <c r="I55" i="7"/>
  <c r="G17" i="7"/>
  <c r="G16" i="7" s="1"/>
  <c r="H29" i="8"/>
  <c r="I11" i="7"/>
  <c r="I10" i="7" s="1"/>
  <c r="H11" i="7"/>
  <c r="H16" i="7"/>
  <c r="I16" i="7"/>
  <c r="G21" i="13"/>
  <c r="G18" i="13" s="1"/>
  <c r="I21" i="13"/>
  <c r="I18" i="13" s="1"/>
  <c r="F21" i="13"/>
  <c r="H21" i="13"/>
  <c r="H18" i="13" s="1"/>
  <c r="E217" i="8"/>
  <c r="E80" i="5"/>
  <c r="D15" i="5"/>
  <c r="D14" i="5" s="1"/>
  <c r="E23" i="5"/>
  <c r="M24" i="5"/>
  <c r="M23" i="5" s="1"/>
  <c r="M22" i="5" s="1"/>
  <c r="M26" i="5"/>
  <c r="M25" i="5" s="1"/>
  <c r="H51" i="5"/>
  <c r="I51" i="5"/>
  <c r="H15" i="5"/>
  <c r="I15" i="5"/>
  <c r="H16" i="5"/>
  <c r="I16" i="5"/>
  <c r="H19" i="5"/>
  <c r="H18" i="5" s="1"/>
  <c r="I19" i="5"/>
  <c r="I18" i="5" s="1"/>
  <c r="I30" i="5"/>
  <c r="H30" i="5"/>
  <c r="I28" i="5"/>
  <c r="H28" i="5"/>
  <c r="I27" i="5"/>
  <c r="H27" i="5"/>
  <c r="I25" i="5"/>
  <c r="H25" i="5"/>
  <c r="I23" i="5"/>
  <c r="H23" i="5"/>
  <c r="I22" i="5"/>
  <c r="H22" i="5"/>
  <c r="I34" i="5"/>
  <c r="I36" i="5"/>
  <c r="H41" i="5"/>
  <c r="H38" i="5" s="1"/>
  <c r="I41" i="5"/>
  <c r="I38" i="5" s="1"/>
  <c r="H45" i="5"/>
  <c r="I45" i="5"/>
  <c r="H48" i="5"/>
  <c r="H47" i="5" s="1"/>
  <c r="H44" i="5" s="1"/>
  <c r="I48" i="5"/>
  <c r="I47" i="5" s="1"/>
  <c r="I44" i="5" s="1"/>
  <c r="H79" i="5"/>
  <c r="H77" i="5" s="1"/>
  <c r="I79" i="5"/>
  <c r="I77" i="5" s="1"/>
  <c r="H81" i="5"/>
  <c r="I81" i="5"/>
  <c r="H87" i="5"/>
  <c r="I87" i="5"/>
  <c r="H84" i="5"/>
  <c r="I84" i="5"/>
  <c r="H83" i="5"/>
  <c r="I83" i="5"/>
  <c r="I105" i="5"/>
  <c r="H105" i="5"/>
  <c r="I99" i="5"/>
  <c r="H99" i="5"/>
  <c r="I112" i="5"/>
  <c r="H112" i="5"/>
  <c r="I111" i="5"/>
  <c r="H111" i="5"/>
  <c r="H20" i="9"/>
  <c r="H17" i="9" s="1"/>
  <c r="I20" i="9"/>
  <c r="I17" i="9" s="1"/>
  <c r="H14" i="9"/>
  <c r="I14" i="9"/>
  <c r="H10" i="9"/>
  <c r="I10" i="9"/>
  <c r="I30" i="9"/>
  <c r="I29" i="9" s="1"/>
  <c r="H30" i="9"/>
  <c r="H29" i="9" s="1"/>
  <c r="G30" i="9"/>
  <c r="G29" i="9" s="1"/>
  <c r="F30" i="9"/>
  <c r="F29" i="9" s="1"/>
  <c r="I48" i="9"/>
  <c r="I47" i="9" s="1"/>
  <c r="H48" i="9"/>
  <c r="H47" i="9" s="1"/>
  <c r="G48" i="9"/>
  <c r="G47" i="9" s="1"/>
  <c r="I55" i="9"/>
  <c r="I54" i="9" s="1"/>
  <c r="H55" i="9"/>
  <c r="H54" i="9" s="1"/>
  <c r="G55" i="9"/>
  <c r="G54" i="9" s="1"/>
  <c r="F55" i="9"/>
  <c r="F54" i="9" s="1"/>
  <c r="I64" i="9"/>
  <c r="I63" i="9" s="1"/>
  <c r="H64" i="9"/>
  <c r="H63" i="9" s="1"/>
  <c r="G64" i="9"/>
  <c r="G63" i="9" s="1"/>
  <c r="I71" i="9"/>
  <c r="I70" i="9" s="1"/>
  <c r="H71" i="9"/>
  <c r="G71" i="9"/>
  <c r="G70" i="9" s="1"/>
  <c r="H70" i="9"/>
  <c r="I78" i="9"/>
  <c r="I77" i="9" s="1"/>
  <c r="H78" i="9"/>
  <c r="H77" i="9" s="1"/>
  <c r="G78" i="9"/>
  <c r="G77" i="9" s="1"/>
  <c r="I260" i="9"/>
  <c r="I257" i="9" s="1"/>
  <c r="I256" i="9" s="1"/>
  <c r="H260" i="9"/>
  <c r="H257" i="9" s="1"/>
  <c r="H256" i="9" s="1"/>
  <c r="G260" i="9"/>
  <c r="G257" i="9" s="1"/>
  <c r="G256" i="9" s="1"/>
  <c r="H105" i="9"/>
  <c r="G105" i="9"/>
  <c r="F105" i="9"/>
  <c r="F104" i="9" s="1"/>
  <c r="H104" i="9"/>
  <c r="I87" i="9"/>
  <c r="I86" i="9" s="1"/>
  <c r="H87" i="9"/>
  <c r="H86" i="9" s="1"/>
  <c r="G87" i="9"/>
  <c r="G86" i="9" s="1"/>
  <c r="E78" i="9"/>
  <c r="E77" i="9" s="1"/>
  <c r="E71" i="9"/>
  <c r="E70" i="9" s="1"/>
  <c r="I39" i="9"/>
  <c r="I38" i="9" s="1"/>
  <c r="H39" i="9"/>
  <c r="H38" i="9" s="1"/>
  <c r="G39" i="9"/>
  <c r="G38" i="9" s="1"/>
  <c r="F39" i="9"/>
  <c r="F38" i="9" s="1"/>
  <c r="E39" i="9"/>
  <c r="E38" i="9" s="1"/>
  <c r="H14" i="5"/>
  <c r="H13" i="5" s="1"/>
  <c r="I33" i="5"/>
  <c r="E30" i="5"/>
  <c r="E27" i="5" s="1"/>
  <c r="C39" i="10" s="1"/>
  <c r="I14" i="5"/>
  <c r="I13" i="5"/>
  <c r="E25" i="5"/>
  <c r="E22" i="5"/>
  <c r="E87" i="9"/>
  <c r="F76" i="4"/>
  <c r="G76" i="4"/>
  <c r="H76" i="4"/>
  <c r="I76" i="4"/>
  <c r="F74" i="4"/>
  <c r="G74" i="4"/>
  <c r="H74" i="4"/>
  <c r="I74" i="4"/>
  <c r="F73" i="4"/>
  <c r="G73" i="4"/>
  <c r="H73" i="4"/>
  <c r="I73" i="4"/>
  <c r="F71" i="4"/>
  <c r="G71" i="4"/>
  <c r="H71" i="4"/>
  <c r="I71" i="4"/>
  <c r="F68" i="4"/>
  <c r="G68" i="4"/>
  <c r="H68" i="4"/>
  <c r="H67" i="4" s="1"/>
  <c r="I68" i="4"/>
  <c r="I67" i="4" s="1"/>
  <c r="F63" i="4"/>
  <c r="G63" i="4"/>
  <c r="H63" i="4"/>
  <c r="I63" i="4"/>
  <c r="F62" i="4"/>
  <c r="G62" i="4"/>
  <c r="H62" i="4"/>
  <c r="I62" i="4"/>
  <c r="F55" i="4"/>
  <c r="G55" i="4"/>
  <c r="H55" i="4"/>
  <c r="I55" i="4"/>
  <c r="F54" i="4"/>
  <c r="G54" i="4"/>
  <c r="H54" i="4"/>
  <c r="I54" i="4"/>
  <c r="F46" i="4"/>
  <c r="G46" i="4"/>
  <c r="H46" i="4"/>
  <c r="I46" i="4"/>
  <c r="F42" i="4"/>
  <c r="G42" i="4"/>
  <c r="G41" i="4" s="1"/>
  <c r="H42" i="4"/>
  <c r="I42" i="4"/>
  <c r="I41" i="4" s="1"/>
  <c r="F49" i="4"/>
  <c r="G49" i="4"/>
  <c r="H49" i="4"/>
  <c r="I49" i="4"/>
  <c r="F51" i="4"/>
  <c r="G51" i="4"/>
  <c r="H51" i="4"/>
  <c r="I51" i="4"/>
  <c r="I48" i="4" s="1"/>
  <c r="H80" i="4"/>
  <c r="I80" i="4"/>
  <c r="H79" i="4"/>
  <c r="I79" i="4"/>
  <c r="F95" i="4"/>
  <c r="G95" i="4"/>
  <c r="H95" i="4"/>
  <c r="I95" i="4"/>
  <c r="F98" i="4"/>
  <c r="G98" i="4"/>
  <c r="H98" i="4"/>
  <c r="I98" i="4"/>
  <c r="F101" i="4"/>
  <c r="F100" i="4" s="1"/>
  <c r="G101" i="4"/>
  <c r="G100" i="4" s="1"/>
  <c r="H101" i="4"/>
  <c r="H100" i="4" s="1"/>
  <c r="I101" i="4"/>
  <c r="I100" i="4" s="1"/>
  <c r="F114" i="4"/>
  <c r="G114" i="4"/>
  <c r="H114" i="4"/>
  <c r="I114" i="4"/>
  <c r="F111" i="4"/>
  <c r="G111" i="4"/>
  <c r="H111" i="4"/>
  <c r="I111" i="4"/>
  <c r="F109" i="4"/>
  <c r="G109" i="4"/>
  <c r="H109" i="4"/>
  <c r="I109" i="4"/>
  <c r="F105" i="4"/>
  <c r="G105" i="4"/>
  <c r="H105" i="4"/>
  <c r="I105" i="4"/>
  <c r="F104" i="4"/>
  <c r="G104" i="4"/>
  <c r="H104" i="4"/>
  <c r="I104" i="4"/>
  <c r="H90" i="4"/>
  <c r="H89" i="4" s="1"/>
  <c r="I90" i="4"/>
  <c r="I89" i="4" s="1"/>
  <c r="F28" i="4"/>
  <c r="F27" i="4" s="1"/>
  <c r="G28" i="4"/>
  <c r="G27" i="4" s="1"/>
  <c r="H28" i="4"/>
  <c r="E83" i="1" s="1"/>
  <c r="E82" i="1" s="1"/>
  <c r="I28" i="4"/>
  <c r="F83" i="1" s="1"/>
  <c r="F82" i="1" s="1"/>
  <c r="F26" i="4"/>
  <c r="C78" i="1" s="1"/>
  <c r="G26" i="4"/>
  <c r="H26" i="4"/>
  <c r="I26" i="4"/>
  <c r="F25" i="4"/>
  <c r="C77" i="1" s="1"/>
  <c r="G25" i="4"/>
  <c r="D77" i="1" s="1"/>
  <c r="H25" i="4"/>
  <c r="E77" i="1" s="1"/>
  <c r="I25" i="4"/>
  <c r="F77" i="1" s="1"/>
  <c r="F20" i="4"/>
  <c r="C69" i="1" s="1"/>
  <c r="G20" i="4"/>
  <c r="H20" i="4"/>
  <c r="E69" i="1" s="1"/>
  <c r="I20" i="4"/>
  <c r="G18" i="4"/>
  <c r="D70" i="1" s="1"/>
  <c r="H18" i="4"/>
  <c r="E70" i="1" s="1"/>
  <c r="I18" i="4"/>
  <c r="F70" i="1" s="1"/>
  <c r="I17" i="4"/>
  <c r="F68" i="1" s="1"/>
  <c r="F123" i="1" s="1"/>
  <c r="F185" i="1" s="1"/>
  <c r="D83" i="1"/>
  <c r="D82" i="1" s="1"/>
  <c r="H41" i="4"/>
  <c r="F48" i="4"/>
  <c r="G48" i="4"/>
  <c r="E51" i="4"/>
  <c r="E48" i="4" s="1"/>
  <c r="E49" i="4"/>
  <c r="H24" i="4"/>
  <c r="H94" i="4"/>
  <c r="F67" i="4"/>
  <c r="I24" i="4"/>
  <c r="G24" i="4"/>
  <c r="I27" i="4"/>
  <c r="G94" i="4"/>
  <c r="G67" i="4"/>
  <c r="I10" i="4"/>
  <c r="M56" i="3"/>
  <c r="M70" i="3"/>
  <c r="M69" i="3"/>
  <c r="M72" i="3"/>
  <c r="M71" i="3" s="1"/>
  <c r="I193" i="3"/>
  <c r="H193" i="3"/>
  <c r="G193" i="3"/>
  <c r="I191" i="3"/>
  <c r="H191" i="3"/>
  <c r="G191" i="3"/>
  <c r="I188" i="3"/>
  <c r="H188" i="3"/>
  <c r="G188" i="3"/>
  <c r="G187" i="3" s="1"/>
  <c r="G24" i="10"/>
  <c r="F25" i="3"/>
  <c r="F24" i="3" s="1"/>
  <c r="G25" i="3"/>
  <c r="G24" i="3" s="1"/>
  <c r="H25" i="3"/>
  <c r="H24" i="3" s="1"/>
  <c r="I25" i="3"/>
  <c r="I24" i="3" s="1"/>
  <c r="F28" i="3"/>
  <c r="F27" i="3" s="1"/>
  <c r="G28" i="3"/>
  <c r="G27" i="3" s="1"/>
  <c r="H28" i="3"/>
  <c r="H27" i="3" s="1"/>
  <c r="I28" i="3"/>
  <c r="I27" i="3" s="1"/>
  <c r="H711" i="2"/>
  <c r="H710" i="2" s="1"/>
  <c r="I711" i="2"/>
  <c r="I710" i="2" s="1"/>
  <c r="I426" i="2"/>
  <c r="I434" i="2"/>
  <c r="I431" i="2" s="1"/>
  <c r="H429" i="2"/>
  <c r="G429" i="2"/>
  <c r="I674" i="2"/>
  <c r="I673" i="2" s="1"/>
  <c r="H674" i="2"/>
  <c r="H673" i="2" s="1"/>
  <c r="I636" i="2"/>
  <c r="I635" i="2" s="1"/>
  <c r="H636" i="2"/>
  <c r="H635" i="2" s="1"/>
  <c r="F69" i="1"/>
  <c r="I589" i="2"/>
  <c r="I587" i="2"/>
  <c r="H589" i="2"/>
  <c r="H587" i="2"/>
  <c r="H586" i="2" s="1"/>
  <c r="I592" i="2"/>
  <c r="I591" i="2" s="1"/>
  <c r="H592" i="2"/>
  <c r="H591" i="2" s="1"/>
  <c r="I584" i="2"/>
  <c r="I583" i="2" s="1"/>
  <c r="I582" i="2" s="1"/>
  <c r="G41" i="10" s="1"/>
  <c r="I581" i="2"/>
  <c r="I580" i="2" s="1"/>
  <c r="I579" i="2"/>
  <c r="I578" i="2" s="1"/>
  <c r="H584" i="2"/>
  <c r="H583" i="2" s="1"/>
  <c r="H582" i="2" s="1"/>
  <c r="F41" i="10" s="1"/>
  <c r="H581" i="2"/>
  <c r="H579" i="2"/>
  <c r="H578" i="2" s="1"/>
  <c r="G584" i="2"/>
  <c r="G583" i="2" s="1"/>
  <c r="G582" i="2" s="1"/>
  <c r="E41" i="10" s="1"/>
  <c r="G581" i="2"/>
  <c r="G580" i="2" s="1"/>
  <c r="G579" i="2"/>
  <c r="G578" i="2" s="1"/>
  <c r="I563" i="2"/>
  <c r="I559" i="2"/>
  <c r="I555" i="2"/>
  <c r="I551" i="2"/>
  <c r="H563" i="2"/>
  <c r="H559" i="2"/>
  <c r="H555" i="2"/>
  <c r="H551" i="2"/>
  <c r="G563" i="2"/>
  <c r="G559" i="2"/>
  <c r="G555" i="2"/>
  <c r="G551" i="2"/>
  <c r="F563" i="2"/>
  <c r="F559" i="2"/>
  <c r="F555" i="2"/>
  <c r="F551" i="2"/>
  <c r="I541" i="2"/>
  <c r="I21" i="2" s="1"/>
  <c r="F28" i="1" s="1"/>
  <c r="F131" i="1" s="1"/>
  <c r="F193" i="1" s="1"/>
  <c r="I540" i="2"/>
  <c r="I538" i="2"/>
  <c r="I16" i="2" s="1"/>
  <c r="F22" i="1" s="1"/>
  <c r="I537" i="2"/>
  <c r="I14" i="2" s="1"/>
  <c r="I536" i="2"/>
  <c r="H541" i="2"/>
  <c r="H21" i="2" s="1"/>
  <c r="E28" i="1" s="1"/>
  <c r="E131" i="1" s="1"/>
  <c r="E193" i="1" s="1"/>
  <c r="H540" i="2"/>
  <c r="H20" i="2" s="1"/>
  <c r="H538" i="2"/>
  <c r="H537" i="2"/>
  <c r="H14" i="2" s="1"/>
  <c r="H536" i="2"/>
  <c r="I548" i="2"/>
  <c r="I547" i="2"/>
  <c r="I545" i="2"/>
  <c r="I26" i="2" s="1"/>
  <c r="I544" i="2"/>
  <c r="I24" i="2" s="1"/>
  <c r="F34" i="1" s="1"/>
  <c r="H548" i="2"/>
  <c r="H547" i="2"/>
  <c r="H545" i="2"/>
  <c r="H544" i="2"/>
  <c r="H24" i="2" s="1"/>
  <c r="E34" i="1" s="1"/>
  <c r="I429" i="2"/>
  <c r="I425" i="2" s="1"/>
  <c r="G28" i="10" s="1"/>
  <c r="M87" i="2"/>
  <c r="M86" i="2" s="1"/>
  <c r="M81" i="2" s="1"/>
  <c r="H39" i="2"/>
  <c r="H17" i="2" s="1"/>
  <c r="E24" i="1" s="1"/>
  <c r="E129" i="1" s="1"/>
  <c r="E190" i="1" s="1"/>
  <c r="I39" i="2"/>
  <c r="I17" i="2" s="1"/>
  <c r="F24" i="1" s="1"/>
  <c r="F129" i="1" s="1"/>
  <c r="F190" i="1" s="1"/>
  <c r="H25" i="2"/>
  <c r="E37" i="1" s="1"/>
  <c r="I25" i="2"/>
  <c r="F37" i="1" s="1"/>
  <c r="H46" i="2"/>
  <c r="H27" i="2" s="1"/>
  <c r="E39" i="1" s="1"/>
  <c r="E143" i="1" s="1"/>
  <c r="E205" i="1" s="1"/>
  <c r="I46" i="2"/>
  <c r="I27" i="2" s="1"/>
  <c r="F39" i="1" s="1"/>
  <c r="F143" i="1" s="1"/>
  <c r="F205" i="1" s="1"/>
  <c r="H47" i="2"/>
  <c r="H28" i="2" s="1"/>
  <c r="E40" i="1" s="1"/>
  <c r="E144" i="1" s="1"/>
  <c r="E206" i="1" s="1"/>
  <c r="I47" i="2"/>
  <c r="I28" i="2" s="1"/>
  <c r="F40" i="1" s="1"/>
  <c r="F144" i="1" s="1"/>
  <c r="F206" i="1" s="1"/>
  <c r="H50" i="2"/>
  <c r="H30" i="2" s="1"/>
  <c r="I50" i="2"/>
  <c r="I30" i="2" s="1"/>
  <c r="D559" i="2"/>
  <c r="E544" i="2"/>
  <c r="E24" i="2" s="1"/>
  <c r="I187" i="3"/>
  <c r="I15" i="2"/>
  <c r="F21" i="1" s="1"/>
  <c r="E78" i="1"/>
  <c r="H15" i="2"/>
  <c r="E21" i="1" s="1"/>
  <c r="F78" i="1"/>
  <c r="H580" i="2"/>
  <c r="I44" i="2"/>
  <c r="E537" i="2"/>
  <c r="E14" i="2" s="1"/>
  <c r="I32" i="2"/>
  <c r="H41" i="2"/>
  <c r="F558" i="2"/>
  <c r="H558" i="2"/>
  <c r="I586" i="2"/>
  <c r="I9" i="2" s="1"/>
  <c r="H539" i="2"/>
  <c r="E581" i="2"/>
  <c r="I543" i="2"/>
  <c r="I49" i="2"/>
  <c r="I43" i="2" s="1"/>
  <c r="E589" i="2"/>
  <c r="F267" i="6"/>
  <c r="F266" i="6" s="1"/>
  <c r="F265" i="6" s="1"/>
  <c r="G267" i="6"/>
  <c r="G266" i="6" s="1"/>
  <c r="G265" i="6" s="1"/>
  <c r="H267" i="6"/>
  <c r="H266" i="6" s="1"/>
  <c r="H265" i="6" s="1"/>
  <c r="I267" i="6"/>
  <c r="I266" i="6" s="1"/>
  <c r="I265" i="6" s="1"/>
  <c r="I282" i="6"/>
  <c r="I281" i="6" s="1"/>
  <c r="H282" i="6"/>
  <c r="H281" i="6" s="1"/>
  <c r="G282" i="6"/>
  <c r="G281" i="6" s="1"/>
  <c r="F282" i="6"/>
  <c r="F281" i="6" s="1"/>
  <c r="I278" i="6"/>
  <c r="I277" i="6" s="1"/>
  <c r="H278" i="6"/>
  <c r="H277" i="6" s="1"/>
  <c r="G278" i="6"/>
  <c r="G277" i="6" s="1"/>
  <c r="F278" i="6"/>
  <c r="F277" i="6" s="1"/>
  <c r="F264" i="6"/>
  <c r="G264" i="6"/>
  <c r="H264" i="6"/>
  <c r="I264" i="6"/>
  <c r="I263" i="6"/>
  <c r="H262" i="6"/>
  <c r="H261" i="6" s="1"/>
  <c r="H260" i="6"/>
  <c r="I260" i="6"/>
  <c r="G102" i="6"/>
  <c r="G95" i="6"/>
  <c r="H95" i="6"/>
  <c r="I95" i="6"/>
  <c r="G97" i="6"/>
  <c r="H97" i="6"/>
  <c r="I97" i="6"/>
  <c r="G100" i="6"/>
  <c r="H100" i="6"/>
  <c r="I100" i="6"/>
  <c r="H102" i="6"/>
  <c r="H99" i="6" s="1"/>
  <c r="I102" i="6"/>
  <c r="H91" i="6"/>
  <c r="I91" i="6"/>
  <c r="H89" i="6"/>
  <c r="I89" i="6"/>
  <c r="H88" i="6"/>
  <c r="I88" i="6"/>
  <c r="H86" i="6"/>
  <c r="I86" i="6"/>
  <c r="H84" i="6"/>
  <c r="H83" i="6" s="1"/>
  <c r="I84" i="6"/>
  <c r="I83" i="6" s="1"/>
  <c r="I80" i="6"/>
  <c r="H80" i="6"/>
  <c r="I78" i="6"/>
  <c r="H78" i="6"/>
  <c r="I77" i="6"/>
  <c r="G20" i="10" s="1"/>
  <c r="H77" i="6"/>
  <c r="F20" i="10" s="1"/>
  <c r="I75" i="6"/>
  <c r="H75" i="6"/>
  <c r="I73" i="6"/>
  <c r="H73" i="6"/>
  <c r="I72" i="6"/>
  <c r="G19" i="10" s="1"/>
  <c r="H72" i="6"/>
  <c r="F19" i="10" s="1"/>
  <c r="I61" i="6"/>
  <c r="I69" i="6"/>
  <c r="H69" i="6"/>
  <c r="G69" i="6"/>
  <c r="F69" i="6"/>
  <c r="I67" i="6"/>
  <c r="H67" i="6"/>
  <c r="G67" i="6"/>
  <c r="F67" i="6"/>
  <c r="I66" i="6"/>
  <c r="H66" i="6"/>
  <c r="G66" i="6"/>
  <c r="F66" i="6"/>
  <c r="I64" i="6"/>
  <c r="H64" i="6"/>
  <c r="G64" i="6"/>
  <c r="F64" i="6"/>
  <c r="H61" i="6"/>
  <c r="G61" i="6"/>
  <c r="I36" i="6"/>
  <c r="I35" i="6" s="1"/>
  <c r="G31" i="10" s="1"/>
  <c r="H36" i="6"/>
  <c r="H35" i="6" s="1"/>
  <c r="G36" i="6"/>
  <c r="G35" i="6" s="1"/>
  <c r="F36" i="6"/>
  <c r="F35" i="6" s="1"/>
  <c r="I30" i="6"/>
  <c r="H30" i="6"/>
  <c r="G30" i="6"/>
  <c r="F30" i="6"/>
  <c r="I27" i="6"/>
  <c r="I274" i="6"/>
  <c r="I273" i="6" s="1"/>
  <c r="I259" i="6" s="1"/>
  <c r="H274" i="6"/>
  <c r="H273" i="6" s="1"/>
  <c r="H259" i="6" s="1"/>
  <c r="G263" i="6"/>
  <c r="G262" i="6" s="1"/>
  <c r="G261" i="6" s="1"/>
  <c r="F60" i="6"/>
  <c r="I99" i="6"/>
  <c r="G94" i="6"/>
  <c r="H94" i="6"/>
  <c r="F275" i="6"/>
  <c r="M703" i="2"/>
  <c r="M702" i="2" s="1"/>
  <c r="M695" i="2"/>
  <c r="M694" i="2" s="1"/>
  <c r="M687" i="2"/>
  <c r="M686" i="2" s="1"/>
  <c r="F114" i="9"/>
  <c r="G91" i="6"/>
  <c r="G86" i="6"/>
  <c r="G89" i="6"/>
  <c r="G84" i="6"/>
  <c r="D80" i="6"/>
  <c r="F80" i="6"/>
  <c r="G80" i="6"/>
  <c r="F78" i="6"/>
  <c r="G78" i="6"/>
  <c r="G77" i="6" s="1"/>
  <c r="D75" i="6"/>
  <c r="F75" i="6"/>
  <c r="G75" i="6"/>
  <c r="F73" i="6"/>
  <c r="F72" i="6" s="1"/>
  <c r="G73" i="6"/>
  <c r="G83" i="6"/>
  <c r="G72" i="6"/>
  <c r="D17" i="5"/>
  <c r="E26" i="8"/>
  <c r="E16" i="8"/>
  <c r="M69" i="8"/>
  <c r="M68" i="8" s="1"/>
  <c r="B103" i="1"/>
  <c r="G56" i="7"/>
  <c r="F56" i="7"/>
  <c r="F90" i="4"/>
  <c r="G90" i="4"/>
  <c r="G89" i="4" s="1"/>
  <c r="D10" i="13"/>
  <c r="D40" i="13"/>
  <c r="D39" i="13" s="1"/>
  <c r="D35" i="13"/>
  <c r="M10" i="13"/>
  <c r="D28" i="13"/>
  <c r="D31" i="13"/>
  <c r="D30" i="13" s="1"/>
  <c r="F260" i="9"/>
  <c r="F257" i="9" s="1"/>
  <c r="F256" i="9" s="1"/>
  <c r="F87" i="9"/>
  <c r="F86" i="9" s="1"/>
  <c r="F78" i="9"/>
  <c r="F77" i="9" s="1"/>
  <c r="F71" i="9"/>
  <c r="F70" i="9" s="1"/>
  <c r="F64" i="9"/>
  <c r="F63" i="9" s="1"/>
  <c r="F48" i="9"/>
  <c r="F47" i="9" s="1"/>
  <c r="D200" i="8"/>
  <c r="D199" i="8" s="1"/>
  <c r="E187" i="8"/>
  <c r="G147" i="8"/>
  <c r="F147" i="8"/>
  <c r="D147" i="8"/>
  <c r="G144" i="8"/>
  <c r="F144" i="8"/>
  <c r="D144" i="8"/>
  <c r="G141" i="8"/>
  <c r="F141" i="8"/>
  <c r="D141" i="8"/>
  <c r="G138" i="8"/>
  <c r="F138" i="8"/>
  <c r="D87" i="8"/>
  <c r="F87" i="8"/>
  <c r="F85" i="8"/>
  <c r="F84" i="8" s="1"/>
  <c r="F218" i="8" s="1"/>
  <c r="F82" i="8"/>
  <c r="F80" i="8"/>
  <c r="E31" i="8"/>
  <c r="E20" i="8"/>
  <c r="E13" i="8"/>
  <c r="G32" i="8"/>
  <c r="F32" i="8"/>
  <c r="G27" i="8"/>
  <c r="D136" i="1"/>
  <c r="D198" i="1" s="1"/>
  <c r="F27" i="8"/>
  <c r="C136" i="1"/>
  <c r="C198" i="1" s="1"/>
  <c r="G26" i="8"/>
  <c r="F26" i="8"/>
  <c r="G21" i="8"/>
  <c r="F21" i="8"/>
  <c r="G18" i="8"/>
  <c r="D27" i="1" s="1"/>
  <c r="F18" i="8"/>
  <c r="C27" i="1" s="1"/>
  <c r="G13" i="8"/>
  <c r="F13" i="8"/>
  <c r="G88" i="7"/>
  <c r="F88" i="7"/>
  <c r="G86" i="7"/>
  <c r="F86" i="7"/>
  <c r="G85" i="7"/>
  <c r="G83" i="7"/>
  <c r="F83" i="7"/>
  <c r="G80" i="7"/>
  <c r="F80" i="7"/>
  <c r="G76" i="7"/>
  <c r="F76" i="7"/>
  <c r="G74" i="7"/>
  <c r="F74" i="7"/>
  <c r="G71" i="7"/>
  <c r="F71" i="7"/>
  <c r="G68" i="7"/>
  <c r="F68" i="7"/>
  <c r="G64" i="7"/>
  <c r="F64" i="7"/>
  <c r="G62" i="7"/>
  <c r="F62" i="7"/>
  <c r="G61" i="7"/>
  <c r="G59" i="7"/>
  <c r="F59" i="7"/>
  <c r="G55" i="7"/>
  <c r="F55" i="7"/>
  <c r="G52" i="7"/>
  <c r="F52" i="7"/>
  <c r="G50" i="7"/>
  <c r="F50" i="7"/>
  <c r="G47" i="7"/>
  <c r="F47" i="7"/>
  <c r="G44" i="7"/>
  <c r="G43" i="7" s="1"/>
  <c r="F44" i="7"/>
  <c r="G40" i="7"/>
  <c r="F40" i="7"/>
  <c r="G38" i="7"/>
  <c r="F38" i="7"/>
  <c r="G35" i="7"/>
  <c r="F35" i="7"/>
  <c r="G32" i="7"/>
  <c r="F32" i="7"/>
  <c r="G23" i="7"/>
  <c r="G22" i="7" s="1"/>
  <c r="F23" i="7"/>
  <c r="F22" i="7" s="1"/>
  <c r="G274" i="6"/>
  <c r="G273" i="6" s="1"/>
  <c r="G259" i="6" s="1"/>
  <c r="F274" i="6"/>
  <c r="F273" i="6" s="1"/>
  <c r="M270" i="6"/>
  <c r="M269" i="6" s="1"/>
  <c r="G260" i="6"/>
  <c r="F260" i="6"/>
  <c r="F102" i="6"/>
  <c r="F100" i="6"/>
  <c r="F99" i="6" s="1"/>
  <c r="F97" i="6"/>
  <c r="F95" i="6"/>
  <c r="G112" i="5"/>
  <c r="G111" i="5" s="1"/>
  <c r="F112" i="5"/>
  <c r="F111" i="5"/>
  <c r="D85" i="5"/>
  <c r="G105" i="5"/>
  <c r="F105" i="5"/>
  <c r="G99" i="5"/>
  <c r="F99" i="5"/>
  <c r="G91" i="5"/>
  <c r="F91" i="5"/>
  <c r="F90" i="5" s="1"/>
  <c r="G90" i="5"/>
  <c r="F88" i="5"/>
  <c r="C83" i="1" s="1"/>
  <c r="C82" i="1" s="1"/>
  <c r="G87" i="5"/>
  <c r="F87" i="5"/>
  <c r="F86" i="5"/>
  <c r="F61" i="5" s="1"/>
  <c r="F85" i="5"/>
  <c r="G84" i="5"/>
  <c r="G83" i="5" s="1"/>
  <c r="G81" i="5"/>
  <c r="F81" i="5"/>
  <c r="F80" i="5"/>
  <c r="G79" i="5"/>
  <c r="G77" i="5" s="1"/>
  <c r="G76" i="5" s="1"/>
  <c r="F79" i="5"/>
  <c r="F78" i="5"/>
  <c r="G51" i="5"/>
  <c r="M75" i="5"/>
  <c r="M73" i="5" s="1"/>
  <c r="G48" i="5"/>
  <c r="F48" i="5"/>
  <c r="F47" i="5" s="1"/>
  <c r="G47" i="5"/>
  <c r="G45" i="5"/>
  <c r="F45" i="5"/>
  <c r="F44" i="5" s="1"/>
  <c r="G41" i="5"/>
  <c r="G38" i="5" s="1"/>
  <c r="F41" i="5"/>
  <c r="F38" i="5" s="1"/>
  <c r="G30" i="5"/>
  <c r="F30" i="5"/>
  <c r="G28" i="5"/>
  <c r="F28" i="5"/>
  <c r="G27" i="5"/>
  <c r="G25" i="5"/>
  <c r="F25" i="5"/>
  <c r="G23" i="5"/>
  <c r="F23" i="5"/>
  <c r="G19" i="5"/>
  <c r="G18" i="5" s="1"/>
  <c r="F19" i="5"/>
  <c r="F18" i="5" s="1"/>
  <c r="F16" i="5"/>
  <c r="G16" i="5"/>
  <c r="G15" i="5"/>
  <c r="F89" i="4"/>
  <c r="F85" i="4"/>
  <c r="F84" i="4" s="1"/>
  <c r="G80" i="4"/>
  <c r="G79" i="4" s="1"/>
  <c r="F80" i="4"/>
  <c r="F79" i="4" s="1"/>
  <c r="E28" i="4"/>
  <c r="D60" i="4"/>
  <c r="G17" i="4"/>
  <c r="D68" i="1" s="1"/>
  <c r="D123" i="1" s="1"/>
  <c r="D185" i="1" s="1"/>
  <c r="C68" i="1"/>
  <c r="F220" i="3"/>
  <c r="F218" i="3"/>
  <c r="F217" i="3"/>
  <c r="F215" i="3"/>
  <c r="F212" i="3"/>
  <c r="F211" i="3" s="1"/>
  <c r="F208" i="3"/>
  <c r="F206" i="3"/>
  <c r="F203" i="3"/>
  <c r="F200" i="3"/>
  <c r="D200" i="3" s="1"/>
  <c r="F193" i="3"/>
  <c r="F191" i="3"/>
  <c r="F188" i="3"/>
  <c r="F184" i="3"/>
  <c r="F182" i="3"/>
  <c r="D146" i="3"/>
  <c r="F112" i="3"/>
  <c r="F110" i="3"/>
  <c r="F107" i="3"/>
  <c r="F104" i="3"/>
  <c r="F100" i="3"/>
  <c r="F98" i="3"/>
  <c r="F95" i="3"/>
  <c r="F92" i="3"/>
  <c r="G711" i="2"/>
  <c r="G710" i="2" s="1"/>
  <c r="F711" i="2"/>
  <c r="F710" i="2" s="1"/>
  <c r="F677" i="2"/>
  <c r="C102" i="1" s="1"/>
  <c r="D674" i="2"/>
  <c r="D673" i="2" s="1"/>
  <c r="G674" i="2"/>
  <c r="G673" i="2" s="1"/>
  <c r="F674" i="2"/>
  <c r="F673" i="2" s="1"/>
  <c r="G670" i="2"/>
  <c r="G669" i="2" s="1"/>
  <c r="F670" i="2"/>
  <c r="F669" i="2" s="1"/>
  <c r="D659" i="2"/>
  <c r="D658" i="2" s="1"/>
  <c r="G636" i="2"/>
  <c r="G635" i="2" s="1"/>
  <c r="F636" i="2"/>
  <c r="F635" i="2" s="1"/>
  <c r="G632" i="2"/>
  <c r="G631" i="2" s="1"/>
  <c r="F632" i="2"/>
  <c r="F631" i="2" s="1"/>
  <c r="G611" i="2"/>
  <c r="F611" i="2"/>
  <c r="D78" i="1"/>
  <c r="D69" i="1"/>
  <c r="G592" i="2"/>
  <c r="F592" i="2"/>
  <c r="F591" i="2" s="1"/>
  <c r="G591" i="2"/>
  <c r="G589" i="2"/>
  <c r="F589" i="2"/>
  <c r="G587" i="2"/>
  <c r="F587" i="2"/>
  <c r="F584" i="2"/>
  <c r="F583" i="2" s="1"/>
  <c r="F582" i="2" s="1"/>
  <c r="F581" i="2"/>
  <c r="F580" i="2" s="1"/>
  <c r="F579" i="2"/>
  <c r="F578" i="2" s="1"/>
  <c r="G548" i="2"/>
  <c r="G33" i="2" s="1"/>
  <c r="D43" i="1" s="1"/>
  <c r="F548" i="2"/>
  <c r="F33" i="2" s="1"/>
  <c r="C43" i="1" s="1"/>
  <c r="C146" i="1" s="1"/>
  <c r="C208" i="1" s="1"/>
  <c r="G547" i="2"/>
  <c r="F547" i="2"/>
  <c r="G545" i="2"/>
  <c r="G26" i="2" s="1"/>
  <c r="F545" i="2"/>
  <c r="G544" i="2"/>
  <c r="G24" i="2" s="1"/>
  <c r="F544" i="2"/>
  <c r="F24" i="2" s="1"/>
  <c r="G541" i="2"/>
  <c r="G21" i="2" s="1"/>
  <c r="D28" i="1" s="1"/>
  <c r="D131" i="1" s="1"/>
  <c r="D193" i="1" s="1"/>
  <c r="F541" i="2"/>
  <c r="F21" i="2" s="1"/>
  <c r="G540" i="2"/>
  <c r="F540" i="2"/>
  <c r="G538" i="2"/>
  <c r="G16" i="2" s="1"/>
  <c r="F538" i="2"/>
  <c r="G537" i="2"/>
  <c r="G14" i="2" s="1"/>
  <c r="F537" i="2"/>
  <c r="F14" i="2" s="1"/>
  <c r="G536" i="2"/>
  <c r="F536" i="2"/>
  <c r="D142" i="2"/>
  <c r="D140" i="2"/>
  <c r="D137" i="2"/>
  <c r="D382" i="2"/>
  <c r="D379" i="2"/>
  <c r="D102" i="2"/>
  <c r="G50" i="2"/>
  <c r="G30" i="2" s="1"/>
  <c r="F50" i="2"/>
  <c r="F30" i="2" s="1"/>
  <c r="G47" i="2"/>
  <c r="G28" i="2" s="1"/>
  <c r="D40" i="1" s="1"/>
  <c r="D144" i="1" s="1"/>
  <c r="D206" i="1" s="1"/>
  <c r="F47" i="2"/>
  <c r="F28" i="2" s="1"/>
  <c r="C40" i="1" s="1"/>
  <c r="C144" i="1" s="1"/>
  <c r="C206" i="1" s="1"/>
  <c r="G46" i="2"/>
  <c r="G27" i="2" s="1"/>
  <c r="D39" i="1" s="1"/>
  <c r="D143" i="1" s="1"/>
  <c r="D205" i="1" s="1"/>
  <c r="F46" i="2"/>
  <c r="F27" i="2" s="1"/>
  <c r="C39" i="1" s="1"/>
  <c r="C143" i="1" s="1"/>
  <c r="C205" i="1" s="1"/>
  <c r="G25" i="2"/>
  <c r="D37" i="1" s="1"/>
  <c r="F25" i="2"/>
  <c r="G41" i="2"/>
  <c r="G39" i="2"/>
  <c r="G17" i="2" s="1"/>
  <c r="F39" i="2"/>
  <c r="F17" i="2" s="1"/>
  <c r="C24" i="1" s="1"/>
  <c r="F15" i="2"/>
  <c r="G143" i="8"/>
  <c r="G217" i="8" s="1"/>
  <c r="D416" i="2"/>
  <c r="D636" i="2"/>
  <c r="D635" i="2" s="1"/>
  <c r="D121" i="2"/>
  <c r="D384" i="2"/>
  <c r="D154" i="2"/>
  <c r="F73" i="7"/>
  <c r="G79" i="7"/>
  <c r="M145" i="2"/>
  <c r="D12" i="7"/>
  <c r="G15" i="2"/>
  <c r="D21" i="1" s="1"/>
  <c r="F109" i="3"/>
  <c r="L15" i="10"/>
  <c r="D545" i="2"/>
  <c r="C37" i="1"/>
  <c r="D199" i="2"/>
  <c r="E14" i="8"/>
  <c r="E15" i="8"/>
  <c r="B20" i="1" s="1"/>
  <c r="G31" i="7"/>
  <c r="F61" i="7"/>
  <c r="B72" i="1"/>
  <c r="B81" i="1"/>
  <c r="J81" i="1" s="1"/>
  <c r="E75" i="5"/>
  <c r="E73" i="5" s="1"/>
  <c r="E26" i="4"/>
  <c r="E24" i="4" s="1"/>
  <c r="F77" i="5"/>
  <c r="F76" i="5" s="1"/>
  <c r="G20" i="9"/>
  <c r="G17" i="9" s="1"/>
  <c r="F20" i="9"/>
  <c r="F17" i="9" s="1"/>
  <c r="C80" i="1"/>
  <c r="C140" i="1" s="1"/>
  <c r="C202" i="1" s="1"/>
  <c r="E82" i="5"/>
  <c r="D82" i="5"/>
  <c r="D81" i="5" s="1"/>
  <c r="E112" i="5"/>
  <c r="M79" i="5"/>
  <c r="D25" i="3"/>
  <c r="D24" i="3" s="1"/>
  <c r="F79" i="8"/>
  <c r="D17" i="10" s="1"/>
  <c r="M540" i="2"/>
  <c r="F14" i="5"/>
  <c r="M58" i="9"/>
  <c r="G49" i="7"/>
  <c r="M80" i="5"/>
  <c r="M189" i="3"/>
  <c r="M188" i="3" s="1"/>
  <c r="M187" i="3" s="1"/>
  <c r="E24" i="8"/>
  <c r="E23" i="8" s="1"/>
  <c r="F137" i="8"/>
  <c r="F143" i="8"/>
  <c r="F217" i="8" s="1"/>
  <c r="G14" i="5"/>
  <c r="G13" i="5" s="1"/>
  <c r="F94" i="6"/>
  <c r="O67" i="2"/>
  <c r="M541" i="2"/>
  <c r="M579" i="2"/>
  <c r="M578" i="2" s="1"/>
  <c r="M536" i="2"/>
  <c r="M581" i="2"/>
  <c r="M580" i="2" s="1"/>
  <c r="G44" i="5"/>
  <c r="G29" i="8"/>
  <c r="E27" i="4"/>
  <c r="F22" i="5"/>
  <c r="F11" i="5" s="1"/>
  <c r="F10" i="5" s="1"/>
  <c r="F84" i="5"/>
  <c r="F83" i="5" s="1"/>
  <c r="E102" i="5"/>
  <c r="E86" i="5"/>
  <c r="E79" i="5"/>
  <c r="E108" i="5"/>
  <c r="E88" i="5"/>
  <c r="F32" i="2"/>
  <c r="F29" i="2" s="1"/>
  <c r="D69" i="2"/>
  <c r="F49" i="2"/>
  <c r="D263" i="2"/>
  <c r="G539" i="2"/>
  <c r="F539" i="2"/>
  <c r="G546" i="2"/>
  <c r="F546" i="2"/>
  <c r="F535" i="2"/>
  <c r="G543" i="2"/>
  <c r="F543" i="2"/>
  <c r="F586" i="2"/>
  <c r="G586" i="2"/>
  <c r="C21" i="1"/>
  <c r="E55" i="9"/>
  <c r="E54" i="9" s="1"/>
  <c r="G37" i="7"/>
  <c r="F85" i="7"/>
  <c r="G12" i="8"/>
  <c r="D143" i="8"/>
  <c r="D217" i="8" s="1"/>
  <c r="E180" i="8"/>
  <c r="E178" i="8" s="1"/>
  <c r="E218" i="8"/>
  <c r="D85" i="8"/>
  <c r="D84" i="8" s="1"/>
  <c r="D218" i="8" s="1"/>
  <c r="E212" i="8"/>
  <c r="D193" i="8"/>
  <c r="D189" i="8" s="1"/>
  <c r="D188" i="8" s="1"/>
  <c r="F13" i="5"/>
  <c r="G22" i="5"/>
  <c r="H17" i="4"/>
  <c r="E68" i="1" s="1"/>
  <c r="E123" i="1" s="1"/>
  <c r="E185" i="1" s="1"/>
  <c r="D28" i="4"/>
  <c r="D27" i="4" s="1"/>
  <c r="D26" i="4"/>
  <c r="E264" i="6"/>
  <c r="E282" i="6"/>
  <c r="E281" i="6" s="1"/>
  <c r="E267" i="6"/>
  <c r="E266" i="6" s="1"/>
  <c r="E265" i="6" s="1"/>
  <c r="L21" i="10"/>
  <c r="D56" i="3"/>
  <c r="D63" i="3"/>
  <c r="D62" i="3" s="1"/>
  <c r="E25" i="3"/>
  <c r="E24" i="3" s="1"/>
  <c r="E8" i="3" s="1"/>
  <c r="E7" i="3" s="1"/>
  <c r="F91" i="3"/>
  <c r="F181" i="3"/>
  <c r="D144" i="3"/>
  <c r="F199" i="3"/>
  <c r="D61" i="2"/>
  <c r="D208" i="2"/>
  <c r="O207" i="2"/>
  <c r="D684" i="2"/>
  <c r="E121" i="2"/>
  <c r="G535" i="2"/>
  <c r="G534" i="2" s="1"/>
  <c r="D24" i="2"/>
  <c r="O654" i="2"/>
  <c r="D14" i="2"/>
  <c r="E51" i="2"/>
  <c r="D260" i="2"/>
  <c r="O568" i="2"/>
  <c r="D264" i="6"/>
  <c r="D80" i="3"/>
  <c r="F27" i="5"/>
  <c r="D39" i="10" s="1"/>
  <c r="F43" i="7"/>
  <c r="F187" i="3"/>
  <c r="F205" i="3"/>
  <c r="G14" i="4"/>
  <c r="F31" i="7"/>
  <c r="G67" i="7"/>
  <c r="F37" i="7"/>
  <c r="F49" i="7"/>
  <c r="G73" i="7"/>
  <c r="G137" i="8"/>
  <c r="D274" i="2"/>
  <c r="D589" i="2"/>
  <c r="D98" i="3"/>
  <c r="D97" i="3" s="1"/>
  <c r="F17" i="8"/>
  <c r="L17" i="10"/>
  <c r="G10" i="8"/>
  <c r="D79" i="5"/>
  <c r="F79" i="7"/>
  <c r="G14" i="9"/>
  <c r="D82" i="8"/>
  <c r="D196" i="8"/>
  <c r="D195" i="8" s="1"/>
  <c r="D187" i="8"/>
  <c r="B30" i="1"/>
  <c r="F10" i="8"/>
  <c r="M10" i="8" s="1"/>
  <c r="D259" i="2"/>
  <c r="D252" i="2"/>
  <c r="O550" i="2"/>
  <c r="D204" i="2"/>
  <c r="D203" i="2" s="1"/>
  <c r="B198" i="1"/>
  <c r="D125" i="2"/>
  <c r="D421" i="2"/>
  <c r="E559" i="2"/>
  <c r="E545" i="2"/>
  <c r="M539" i="2"/>
  <c r="O81" i="2"/>
  <c r="D388" i="2"/>
  <c r="E571" i="2"/>
  <c r="O593" i="2"/>
  <c r="E584" i="2"/>
  <c r="E592" i="2"/>
  <c r="E591" i="2" s="1"/>
  <c r="D438" i="2"/>
  <c r="D20" i="5"/>
  <c r="D143" i="3"/>
  <c r="D75" i="5"/>
  <c r="D73" i="5" s="1"/>
  <c r="E38" i="10"/>
  <c r="D88" i="3"/>
  <c r="G9" i="8"/>
  <c r="E13" i="10"/>
  <c r="F9" i="8"/>
  <c r="D13" i="10"/>
  <c r="G11" i="5"/>
  <c r="E46" i="4"/>
  <c r="D38" i="7"/>
  <c r="B67" i="1"/>
  <c r="D18" i="4"/>
  <c r="D218" i="3"/>
  <c r="D206" i="3"/>
  <c r="B44" i="1"/>
  <c r="B36" i="1"/>
  <c r="D21" i="8"/>
  <c r="E189" i="8"/>
  <c r="E188" i="8" s="1"/>
  <c r="G542" i="2"/>
  <c r="L11" i="10"/>
  <c r="O214" i="2"/>
  <c r="F542" i="2"/>
  <c r="H14" i="4"/>
  <c r="H13" i="4" s="1"/>
  <c r="E85" i="5"/>
  <c r="E84" i="5" s="1"/>
  <c r="E111" i="5"/>
  <c r="E87" i="5"/>
  <c r="E105" i="5"/>
  <c r="E104" i="5" s="1"/>
  <c r="E81" i="5"/>
  <c r="E99" i="5"/>
  <c r="E98" i="5" s="1"/>
  <c r="E78" i="5"/>
  <c r="E64" i="9"/>
  <c r="E63" i="9" s="1"/>
  <c r="E48" i="9"/>
  <c r="E47" i="9" s="1"/>
  <c r="E30" i="9"/>
  <c r="E29" i="9" s="1"/>
  <c r="C18" i="10"/>
  <c r="D24" i="8"/>
  <c r="O106" i="8"/>
  <c r="B27" i="1"/>
  <c r="D26" i="8"/>
  <c r="E42" i="4"/>
  <c r="E41" i="4" s="1"/>
  <c r="D203" i="3"/>
  <c r="D118" i="3"/>
  <c r="D95" i="3"/>
  <c r="D86" i="3"/>
  <c r="D123" i="3"/>
  <c r="D122" i="3" s="1"/>
  <c r="D83" i="3"/>
  <c r="D79" i="3" s="1"/>
  <c r="D69" i="3"/>
  <c r="D125" i="3"/>
  <c r="D124" i="3" s="1"/>
  <c r="D149" i="3"/>
  <c r="D148" i="3" s="1"/>
  <c r="D141" i="3"/>
  <c r="D120" i="3"/>
  <c r="D119" i="3" s="1"/>
  <c r="D75" i="3"/>
  <c r="D74" i="3" s="1"/>
  <c r="D72" i="3"/>
  <c r="D28" i="3"/>
  <c r="D27" i="3" s="1"/>
  <c r="E28" i="3"/>
  <c r="E27" i="3" s="1"/>
  <c r="E54" i="2"/>
  <c r="E573" i="2"/>
  <c r="D574" i="2"/>
  <c r="D573" i="2" s="1"/>
  <c r="E152" i="2"/>
  <c r="D415" i="2"/>
  <c r="D195" i="2"/>
  <c r="D194" i="2" s="1"/>
  <c r="E181" i="2"/>
  <c r="E130" i="2"/>
  <c r="E129" i="2" s="1"/>
  <c r="D130" i="2"/>
  <c r="D129" i="2" s="1"/>
  <c r="E75" i="2"/>
  <c r="D76" i="2"/>
  <c r="E77" i="2"/>
  <c r="E154" i="2"/>
  <c r="E125" i="2"/>
  <c r="D211" i="2"/>
  <c r="D210" i="2" s="1"/>
  <c r="E127" i="2"/>
  <c r="D127" i="2"/>
  <c r="E68" i="2"/>
  <c r="D70" i="2"/>
  <c r="D68" i="2" s="1"/>
  <c r="D543" i="2"/>
  <c r="D422" i="2"/>
  <c r="D396" i="2"/>
  <c r="E547" i="2"/>
  <c r="E555" i="2"/>
  <c r="E540" i="2"/>
  <c r="E538" i="2"/>
  <c r="E569" i="2"/>
  <c r="D267" i="6"/>
  <c r="D266" i="6" s="1"/>
  <c r="D265" i="6" s="1"/>
  <c r="D282" i="6"/>
  <c r="D281" i="6" s="1"/>
  <c r="D100" i="6"/>
  <c r="D208" i="3"/>
  <c r="D134" i="3"/>
  <c r="D207" i="2"/>
  <c r="D212" i="8"/>
  <c r="D95" i="6"/>
  <c r="D88" i="5"/>
  <c r="D87" i="5" s="1"/>
  <c r="D34" i="5"/>
  <c r="G8" i="8"/>
  <c r="D80" i="5"/>
  <c r="P12" i="7"/>
  <c r="D277" i="6"/>
  <c r="D201" i="2"/>
  <c r="F8" i="8"/>
  <c r="D97" i="6"/>
  <c r="D102" i="6"/>
  <c r="D443" i="2"/>
  <c r="D442" i="2" s="1"/>
  <c r="E558" i="2"/>
  <c r="O49" i="9"/>
  <c r="E543" i="2"/>
  <c r="L9" i="10"/>
  <c r="D569" i="2"/>
  <c r="D584" i="2"/>
  <c r="D583" i="2" s="1"/>
  <c r="D582" i="2" s="1"/>
  <c r="D131" i="3"/>
  <c r="D41" i="5"/>
  <c r="D38" i="5" s="1"/>
  <c r="D140" i="3"/>
  <c r="D139" i="3" s="1"/>
  <c r="D136" i="3"/>
  <c r="E77" i="5"/>
  <c r="E76" i="5" s="1"/>
  <c r="D21" i="4"/>
  <c r="G10" i="5"/>
  <c r="D32" i="7"/>
  <c r="E9" i="8"/>
  <c r="H10" i="4"/>
  <c r="D36" i="5"/>
  <c r="D33" i="5" s="1"/>
  <c r="D47" i="2"/>
  <c r="D28" i="2" s="1"/>
  <c r="D152" i="2"/>
  <c r="D440" i="2"/>
  <c r="D75" i="2"/>
  <c r="D628" i="2"/>
  <c r="D627" i="2" s="1"/>
  <c r="O105" i="8"/>
  <c r="D19" i="5"/>
  <c r="D18" i="5" s="1"/>
  <c r="D128" i="3"/>
  <c r="N15" i="1"/>
  <c r="O607" i="2"/>
  <c r="K72" i="1"/>
  <c r="D30" i="6"/>
  <c r="D27" i="6" s="1"/>
  <c r="M260" i="6"/>
  <c r="I262" i="6"/>
  <c r="I261" i="6" s="1"/>
  <c r="K225" i="6"/>
  <c r="D84" i="6"/>
  <c r="D89" i="6"/>
  <c r="H115" i="6"/>
  <c r="E165" i="1" l="1"/>
  <c r="G49" i="2"/>
  <c r="K11" i="13"/>
  <c r="D31" i="10"/>
  <c r="M84" i="13"/>
  <c r="F34" i="13"/>
  <c r="G25" i="13"/>
  <c r="G30" i="13"/>
  <c r="H25" i="13"/>
  <c r="M18" i="10"/>
  <c r="M20" i="8"/>
  <c r="K29" i="8"/>
  <c r="L29" i="8"/>
  <c r="L22" i="8" s="1"/>
  <c r="L12" i="8"/>
  <c r="L11" i="8" s="1"/>
  <c r="I29" i="8"/>
  <c r="M91" i="8"/>
  <c r="M15" i="8"/>
  <c r="G23" i="8"/>
  <c r="G22" i="8" s="1"/>
  <c r="F29" i="8"/>
  <c r="F23" i="8"/>
  <c r="F22" i="8" s="1"/>
  <c r="I17" i="8"/>
  <c r="I23" i="8"/>
  <c r="I22" i="8" s="1"/>
  <c r="H17" i="8"/>
  <c r="J217" i="8"/>
  <c r="J219" i="8" s="1"/>
  <c r="J220" i="8" s="1"/>
  <c r="H14" i="10"/>
  <c r="M15" i="2"/>
  <c r="F251" i="2"/>
  <c r="D515" i="2"/>
  <c r="D161" i="6"/>
  <c r="K91" i="7"/>
  <c r="D38" i="13"/>
  <c r="D59" i="13"/>
  <c r="F62" i="13"/>
  <c r="F17" i="13" s="1"/>
  <c r="D58" i="13"/>
  <c r="F56" i="13"/>
  <c r="F14" i="13" s="1"/>
  <c r="H66" i="13"/>
  <c r="H31" i="10"/>
  <c r="F31" i="10"/>
  <c r="L11" i="13"/>
  <c r="G17" i="13"/>
  <c r="I36" i="10"/>
  <c r="G36" i="10"/>
  <c r="I24" i="9"/>
  <c r="F24" i="9"/>
  <c r="E91" i="9"/>
  <c r="E12" i="9"/>
  <c r="E11" i="9" s="1"/>
  <c r="E10" i="9" s="1"/>
  <c r="E219" i="8"/>
  <c r="M180" i="8"/>
  <c r="L137" i="8"/>
  <c r="D182" i="8"/>
  <c r="D181" i="8" s="1"/>
  <c r="J36" i="1"/>
  <c r="J141" i="1" s="1"/>
  <c r="J203" i="1" s="1"/>
  <c r="D20" i="8"/>
  <c r="D31" i="8"/>
  <c r="I217" i="8"/>
  <c r="I219" i="8" s="1"/>
  <c r="G14" i="10"/>
  <c r="M16" i="8"/>
  <c r="M80" i="8"/>
  <c r="D30" i="8"/>
  <c r="M13" i="8"/>
  <c r="M12" i="8" s="1"/>
  <c r="D15" i="8"/>
  <c r="J30" i="1"/>
  <c r="M90" i="8"/>
  <c r="K22" i="8"/>
  <c r="K220" i="8" s="1"/>
  <c r="E32" i="8"/>
  <c r="M83" i="8"/>
  <c r="J44" i="1"/>
  <c r="J142" i="1" s="1"/>
  <c r="J204" i="1" s="1"/>
  <c r="E14" i="10"/>
  <c r="H137" i="8"/>
  <c r="D139" i="8"/>
  <c r="D138" i="8" s="1"/>
  <c r="D25" i="8"/>
  <c r="D81" i="8"/>
  <c r="F16" i="8"/>
  <c r="F12" i="8" s="1"/>
  <c r="F11" i="8" s="1"/>
  <c r="M140" i="8"/>
  <c r="M14" i="8" s="1"/>
  <c r="D180" i="8"/>
  <c r="D178" i="8" s="1"/>
  <c r="F219" i="8"/>
  <c r="K27" i="1"/>
  <c r="G17" i="8"/>
  <c r="G11" i="8" s="1"/>
  <c r="E12" i="8"/>
  <c r="D14" i="8"/>
  <c r="B66" i="1"/>
  <c r="E182" i="8"/>
  <c r="E181" i="8" s="1"/>
  <c r="L217" i="8"/>
  <c r="L219" i="8" s="1"/>
  <c r="J14" i="10"/>
  <c r="H218" i="8"/>
  <c r="F18" i="10"/>
  <c r="K178" i="8"/>
  <c r="J178" i="8"/>
  <c r="G178" i="8"/>
  <c r="F178" i="8"/>
  <c r="J27" i="1"/>
  <c r="D14" i="10"/>
  <c r="E19" i="8"/>
  <c r="E17" i="8" s="1"/>
  <c r="I13" i="10"/>
  <c r="K9" i="8"/>
  <c r="K8" i="8" s="1"/>
  <c r="G13" i="10"/>
  <c r="I9" i="8"/>
  <c r="L178" i="8"/>
  <c r="I178" i="8"/>
  <c r="H178" i="8"/>
  <c r="M179" i="8"/>
  <c r="M178" i="8" s="1"/>
  <c r="D18" i="10"/>
  <c r="H219" i="8"/>
  <c r="G218" i="8"/>
  <c r="G219" i="8" s="1"/>
  <c r="E18" i="10"/>
  <c r="J23" i="8"/>
  <c r="J22" i="8" s="1"/>
  <c r="J11" i="8"/>
  <c r="H60" i="1"/>
  <c r="I103" i="1"/>
  <c r="H23" i="8"/>
  <c r="H22" i="8" s="1"/>
  <c r="I11" i="8"/>
  <c r="F14" i="10"/>
  <c r="I61" i="1"/>
  <c r="G61" i="1"/>
  <c r="E30" i="8"/>
  <c r="E29" i="8" s="1"/>
  <c r="E22" i="8" s="1"/>
  <c r="E220" i="8" s="1"/>
  <c r="I91" i="7"/>
  <c r="F97" i="7"/>
  <c r="H97" i="7"/>
  <c r="J97" i="7"/>
  <c r="H85" i="7"/>
  <c r="I61" i="7"/>
  <c r="M275" i="6"/>
  <c r="M274" i="6" s="1"/>
  <c r="M273" i="6" s="1"/>
  <c r="D275" i="6"/>
  <c r="F14" i="6"/>
  <c r="D116" i="6"/>
  <c r="F246" i="6"/>
  <c r="D237" i="6"/>
  <c r="G246" i="6"/>
  <c r="E19" i="10" s="1"/>
  <c r="F195" i="6"/>
  <c r="F194" i="6" s="1"/>
  <c r="D120" i="6"/>
  <c r="D156" i="6"/>
  <c r="F15" i="6"/>
  <c r="M15" i="6" s="1"/>
  <c r="D236" i="6"/>
  <c r="M239" i="6"/>
  <c r="M238" i="6" s="1"/>
  <c r="D239" i="6"/>
  <c r="D238" i="6" s="1"/>
  <c r="F22" i="6"/>
  <c r="C34" i="1" s="1"/>
  <c r="D242" i="6"/>
  <c r="F243" i="6"/>
  <c r="D244" i="6"/>
  <c r="D122" i="6"/>
  <c r="M129" i="6"/>
  <c r="M77" i="5"/>
  <c r="M76" i="5" s="1"/>
  <c r="J27" i="4"/>
  <c r="I76" i="5"/>
  <c r="M15" i="5"/>
  <c r="M14" i="5" s="1"/>
  <c r="M13" i="5" s="1"/>
  <c r="K13" i="5"/>
  <c r="E39" i="10"/>
  <c r="H76" i="5"/>
  <c r="L119" i="5"/>
  <c r="K119" i="5"/>
  <c r="J119" i="5"/>
  <c r="F38" i="10"/>
  <c r="H11" i="5"/>
  <c r="H10" i="5" s="1"/>
  <c r="F39" i="10"/>
  <c r="K44" i="5"/>
  <c r="I39" i="10"/>
  <c r="D38" i="10"/>
  <c r="G38" i="10"/>
  <c r="I11" i="5"/>
  <c r="I10" i="5" s="1"/>
  <c r="G39" i="10"/>
  <c r="L44" i="5"/>
  <c r="J38" i="10" s="1"/>
  <c r="J39" i="10"/>
  <c r="J44" i="5"/>
  <c r="H39" i="10"/>
  <c r="G116" i="5"/>
  <c r="G118" i="5" s="1"/>
  <c r="G119" i="5" s="1"/>
  <c r="H116" i="5"/>
  <c r="H118" i="5" s="1"/>
  <c r="H119" i="5" s="1"/>
  <c r="I116" i="5"/>
  <c r="I118" i="5" s="1"/>
  <c r="I119" i="5" s="1"/>
  <c r="I41" i="10"/>
  <c r="L13" i="5"/>
  <c r="H58" i="5"/>
  <c r="C38" i="10"/>
  <c r="E11" i="5"/>
  <c r="E10" i="5" s="1"/>
  <c r="J41" i="10"/>
  <c r="H41" i="10"/>
  <c r="F116" i="5"/>
  <c r="F118" i="5" s="1"/>
  <c r="F119" i="5" s="1"/>
  <c r="L94" i="4"/>
  <c r="F94" i="4"/>
  <c r="H48" i="4"/>
  <c r="F41" i="4"/>
  <c r="K14" i="4"/>
  <c r="K13" i="4" s="1"/>
  <c r="M18" i="4"/>
  <c r="C103" i="1"/>
  <c r="I23" i="4"/>
  <c r="H27" i="4"/>
  <c r="I94" i="4"/>
  <c r="K24" i="4"/>
  <c r="K23" i="4" s="1"/>
  <c r="L24" i="4"/>
  <c r="L21" i="4"/>
  <c r="L13" i="4" s="1"/>
  <c r="J41" i="4"/>
  <c r="L41" i="4"/>
  <c r="K41" i="4"/>
  <c r="J72" i="1"/>
  <c r="I14" i="4"/>
  <c r="I13" i="4" s="1"/>
  <c r="G23" i="4"/>
  <c r="F24" i="4"/>
  <c r="D74" i="1"/>
  <c r="D73" i="1" s="1"/>
  <c r="M55" i="4"/>
  <c r="M54" i="4" s="1"/>
  <c r="J14" i="4"/>
  <c r="J13" i="4" s="1"/>
  <c r="J24" i="4"/>
  <c r="K48" i="4"/>
  <c r="K104" i="4"/>
  <c r="M72" i="1"/>
  <c r="C73" i="1"/>
  <c r="M71" i="1"/>
  <c r="J71" i="1"/>
  <c r="E23" i="4"/>
  <c r="M140" i="3"/>
  <c r="M92" i="3"/>
  <c r="M91" i="3" s="1"/>
  <c r="D104" i="3"/>
  <c r="D153" i="3"/>
  <c r="F160" i="3"/>
  <c r="D161" i="3"/>
  <c r="F21" i="3"/>
  <c r="D48" i="3"/>
  <c r="D21" i="3" s="1"/>
  <c r="F97" i="3"/>
  <c r="F103" i="3"/>
  <c r="M80" i="3"/>
  <c r="M79" i="3" s="1"/>
  <c r="D53" i="3"/>
  <c r="F16" i="3"/>
  <c r="F14" i="3" s="1"/>
  <c r="D58" i="3"/>
  <c r="D57" i="3" s="1"/>
  <c r="H187" i="3"/>
  <c r="H211" i="3"/>
  <c r="K217" i="3"/>
  <c r="K271" i="3"/>
  <c r="I61" i="3"/>
  <c r="G61" i="3"/>
  <c r="M98" i="2"/>
  <c r="F577" i="2"/>
  <c r="D40" i="10" s="1"/>
  <c r="F500" i="2"/>
  <c r="M551" i="2"/>
  <c r="G333" i="2"/>
  <c r="M279" i="2"/>
  <c r="E568" i="2"/>
  <c r="E74" i="2"/>
  <c r="E151" i="2"/>
  <c r="D63" i="2"/>
  <c r="D60" i="2" s="1"/>
  <c r="G297" i="2"/>
  <c r="D592" i="2"/>
  <c r="D591" i="2" s="1"/>
  <c r="D79" i="2"/>
  <c r="F534" i="2"/>
  <c r="E16" i="2"/>
  <c r="E32" i="2"/>
  <c r="E580" i="2"/>
  <c r="E19" i="2"/>
  <c r="D506" i="2"/>
  <c r="F435" i="2"/>
  <c r="F434" i="2" s="1"/>
  <c r="F431" i="2" s="1"/>
  <c r="E583" i="2"/>
  <c r="E582" i="2" s="1"/>
  <c r="C41" i="10" s="1"/>
  <c r="E31" i="2"/>
  <c r="E26" i="2"/>
  <c r="D54" i="2"/>
  <c r="E39" i="2"/>
  <c r="E17" i="2" s="1"/>
  <c r="O53" i="2"/>
  <c r="E61" i="2"/>
  <c r="E46" i="2"/>
  <c r="C123" i="1"/>
  <c r="C185" i="1" s="1"/>
  <c r="D78" i="2"/>
  <c r="E50" i="2"/>
  <c r="D671" i="2"/>
  <c r="C129" i="1"/>
  <c r="C190" i="1" s="1"/>
  <c r="M20" i="1"/>
  <c r="C130" i="1"/>
  <c r="C192" i="1" s="1"/>
  <c r="M30" i="1"/>
  <c r="J23" i="1"/>
  <c r="M23" i="1"/>
  <c r="B125" i="1"/>
  <c r="B191" i="1" s="1"/>
  <c r="J20" i="1"/>
  <c r="M27" i="1"/>
  <c r="H136" i="1"/>
  <c r="H198" i="1" s="1"/>
  <c r="J35" i="1"/>
  <c r="J136" i="1" s="1"/>
  <c r="J198" i="1" s="1"/>
  <c r="F163" i="6"/>
  <c r="F318" i="6"/>
  <c r="D160" i="6"/>
  <c r="M160" i="6"/>
  <c r="E83" i="5"/>
  <c r="D78" i="5"/>
  <c r="D77" i="5" s="1"/>
  <c r="D76" i="5" s="1"/>
  <c r="D86" i="5"/>
  <c r="D84" i="5" s="1"/>
  <c r="D83" i="5" s="1"/>
  <c r="D41" i="10"/>
  <c r="D219" i="8"/>
  <c r="D137" i="8"/>
  <c r="O20" i="5"/>
  <c r="D16" i="5"/>
  <c r="D13" i="5" s="1"/>
  <c r="E116" i="5"/>
  <c r="E118" i="5" s="1"/>
  <c r="E119" i="5"/>
  <c r="D116" i="5"/>
  <c r="D118" i="5" s="1"/>
  <c r="D11" i="5"/>
  <c r="D10" i="5" s="1"/>
  <c r="H23" i="4"/>
  <c r="J67" i="4"/>
  <c r="L27" i="4"/>
  <c r="L23" i="4" s="1"/>
  <c r="E103" i="1"/>
  <c r="F103" i="1"/>
  <c r="F101" i="1" s="1"/>
  <c r="I67" i="1"/>
  <c r="J67" i="1" s="1"/>
  <c r="G103" i="1"/>
  <c r="F23" i="4"/>
  <c r="H103" i="1"/>
  <c r="M68" i="3"/>
  <c r="M224" i="3"/>
  <c r="M223" i="3" s="1"/>
  <c r="M212" i="3"/>
  <c r="M115" i="3"/>
  <c r="M120" i="6"/>
  <c r="M116" i="6" s="1"/>
  <c r="I125" i="6"/>
  <c r="M94" i="6"/>
  <c r="K19" i="6"/>
  <c r="F16" i="7"/>
  <c r="F10" i="7"/>
  <c r="H91" i="7"/>
  <c r="J91" i="7"/>
  <c r="F67" i="7"/>
  <c r="H67" i="7"/>
  <c r="H49" i="7"/>
  <c r="G97" i="7"/>
  <c r="I97" i="7"/>
  <c r="K97" i="7"/>
  <c r="D97" i="7"/>
  <c r="E9" i="7"/>
  <c r="E7" i="7" s="1"/>
  <c r="D35" i="7"/>
  <c r="D31" i="7" s="1"/>
  <c r="D25" i="7"/>
  <c r="M44" i="7"/>
  <c r="M43" i="7" s="1"/>
  <c r="D103" i="1"/>
  <c r="K37" i="7"/>
  <c r="K9" i="7"/>
  <c r="K7" i="7" s="1"/>
  <c r="K13" i="7"/>
  <c r="F91" i="7"/>
  <c r="D92" i="7"/>
  <c r="D91" i="7" s="1"/>
  <c r="H10" i="7"/>
  <c r="H68" i="1"/>
  <c r="H123" i="1" s="1"/>
  <c r="H185" i="1" s="1"/>
  <c r="H61" i="1"/>
  <c r="J37" i="7"/>
  <c r="E42" i="2"/>
  <c r="G44" i="2"/>
  <c r="G43" i="2" s="1"/>
  <c r="E60" i="2"/>
  <c r="H543" i="2"/>
  <c r="F462" i="2"/>
  <c r="M537" i="2"/>
  <c r="F267" i="2"/>
  <c r="M177" i="2"/>
  <c r="M239" i="2"/>
  <c r="J539" i="2"/>
  <c r="K36" i="2"/>
  <c r="L425" i="2"/>
  <c r="J28" i="10" s="1"/>
  <c r="F38" i="1"/>
  <c r="F139" i="1" s="1"/>
  <c r="F201" i="1" s="1"/>
  <c r="D38" i="1"/>
  <c r="L17" i="6"/>
  <c r="I25" i="1" s="1"/>
  <c r="I287" i="6"/>
  <c r="F168" i="6"/>
  <c r="F23" i="6"/>
  <c r="D136" i="6"/>
  <c r="D135" i="6" s="1"/>
  <c r="M130" i="6"/>
  <c r="H287" i="6"/>
  <c r="J287" i="6"/>
  <c r="L21" i="6"/>
  <c r="I38" i="1"/>
  <c r="I139" i="1" s="1"/>
  <c r="I201" i="1" s="1"/>
  <c r="G241" i="6"/>
  <c r="G240" i="6" s="1"/>
  <c r="G287" i="6" s="1"/>
  <c r="G22" i="6"/>
  <c r="D34" i="1" s="1"/>
  <c r="D33" i="1" s="1"/>
  <c r="D683" i="2"/>
  <c r="D682" i="2" s="1"/>
  <c r="J130" i="1"/>
  <c r="J192" i="1" s="1"/>
  <c r="D138" i="9"/>
  <c r="O24" i="8"/>
  <c r="O14" i="8"/>
  <c r="H12" i="8"/>
  <c r="H11" i="8" s="1"/>
  <c r="I255" i="9"/>
  <c r="I253" i="9" s="1"/>
  <c r="G159" i="9"/>
  <c r="F159" i="9"/>
  <c r="H141" i="1"/>
  <c r="H203" i="1" s="1"/>
  <c r="D16" i="6"/>
  <c r="D94" i="6"/>
  <c r="E260" i="9"/>
  <c r="E257" i="9" s="1"/>
  <c r="E256" i="9" s="1"/>
  <c r="M24" i="9"/>
  <c r="M33" i="9"/>
  <c r="M135" i="9"/>
  <c r="D114" i="9"/>
  <c r="D113" i="9" s="1"/>
  <c r="I60" i="1"/>
  <c r="I59" i="1" s="1"/>
  <c r="G60" i="1"/>
  <c r="G59" i="1" s="1"/>
  <c r="F253" i="9"/>
  <c r="K253" i="9"/>
  <c r="D132" i="9"/>
  <c r="D131" i="9" s="1"/>
  <c r="D170" i="9"/>
  <c r="D147" i="9"/>
  <c r="F138" i="9"/>
  <c r="L178" i="9"/>
  <c r="J36" i="10" s="1"/>
  <c r="J25" i="10" s="1"/>
  <c r="J178" i="9"/>
  <c r="H36" i="10" s="1"/>
  <c r="L255" i="9"/>
  <c r="L253" i="9" s="1"/>
  <c r="J255" i="9"/>
  <c r="J262" i="9"/>
  <c r="J261" i="9" s="1"/>
  <c r="L262" i="9"/>
  <c r="L261" i="9" s="1"/>
  <c r="M110" i="9"/>
  <c r="M109" i="9" s="1"/>
  <c r="F196" i="9"/>
  <c r="D109" i="9"/>
  <c r="F111" i="9"/>
  <c r="F108" i="9" s="1"/>
  <c r="M112" i="9"/>
  <c r="M111" i="9" s="1"/>
  <c r="D181" i="9"/>
  <c r="D178" i="9" s="1"/>
  <c r="D129" i="9"/>
  <c r="D111" i="9"/>
  <c r="D209" i="9"/>
  <c r="J24" i="9"/>
  <c r="H24" i="9"/>
  <c r="G24" i="9"/>
  <c r="E24" i="9"/>
  <c r="G99" i="9"/>
  <c r="F126" i="9"/>
  <c r="E90" i="9"/>
  <c r="G131" i="9"/>
  <c r="D266" i="9"/>
  <c r="D265" i="9" s="1"/>
  <c r="D254" i="9" s="1"/>
  <c r="D253" i="9" s="1"/>
  <c r="E254" i="9"/>
  <c r="E253" i="9" s="1"/>
  <c r="M256" i="9"/>
  <c r="M178" i="9"/>
  <c r="K42" i="9"/>
  <c r="K24" i="9"/>
  <c r="J42" i="9"/>
  <c r="I42" i="9"/>
  <c r="H165" i="9"/>
  <c r="H42" i="9"/>
  <c r="G42" i="9"/>
  <c r="F187" i="9"/>
  <c r="F42" i="9"/>
  <c r="E81" i="9"/>
  <c r="L33" i="9"/>
  <c r="L9" i="9" s="1"/>
  <c r="J33" i="9"/>
  <c r="J9" i="9" s="1"/>
  <c r="I33" i="9"/>
  <c r="H135" i="9"/>
  <c r="E33" i="9"/>
  <c r="M42" i="9"/>
  <c r="L42" i="9"/>
  <c r="L24" i="9"/>
  <c r="E42" i="9"/>
  <c r="K33" i="9"/>
  <c r="K9" i="9" s="1"/>
  <c r="G126" i="9"/>
  <c r="G111" i="9"/>
  <c r="G109" i="9"/>
  <c r="G33" i="9"/>
  <c r="M200" i="9"/>
  <c r="D144" i="9"/>
  <c r="H205" i="9"/>
  <c r="M126" i="9"/>
  <c r="I135" i="9"/>
  <c r="H33" i="9"/>
  <c r="G135" i="9"/>
  <c r="F33" i="9"/>
  <c r="J196" i="9"/>
  <c r="I149" i="9"/>
  <c r="E86" i="9"/>
  <c r="G113" i="9"/>
  <c r="H196" i="9"/>
  <c r="L196" i="9"/>
  <c r="H149" i="9"/>
  <c r="F113" i="9"/>
  <c r="G140" i="9"/>
  <c r="H113" i="9"/>
  <c r="F149" i="9"/>
  <c r="F131" i="9"/>
  <c r="H131" i="9"/>
  <c r="G196" i="9"/>
  <c r="I196" i="9"/>
  <c r="K196" i="9"/>
  <c r="D260" i="9"/>
  <c r="D257" i="9" s="1"/>
  <c r="D200" i="9"/>
  <c r="G153" i="9"/>
  <c r="F178" i="9"/>
  <c r="F153" i="9"/>
  <c r="F100" i="9"/>
  <c r="F214" i="9"/>
  <c r="H214" i="9"/>
  <c r="I209" i="9"/>
  <c r="G209" i="9"/>
  <c r="F200" i="9"/>
  <c r="G200" i="9"/>
  <c r="I214" i="9"/>
  <c r="G214" i="9"/>
  <c r="F209" i="9"/>
  <c r="H209" i="9"/>
  <c r="M209" i="9"/>
  <c r="F205" i="9"/>
  <c r="G205" i="9"/>
  <c r="H200" i="9"/>
  <c r="G597" i="2"/>
  <c r="D61" i="1" s="1"/>
  <c r="F550" i="2"/>
  <c r="G550" i="2"/>
  <c r="G375" i="2"/>
  <c r="F351" i="2"/>
  <c r="D324" i="2"/>
  <c r="M54" i="2"/>
  <c r="M640" i="2"/>
  <c r="M639" i="2" s="1"/>
  <c r="L586" i="2"/>
  <c r="L9" i="2" s="1"/>
  <c r="L8" i="2" s="1"/>
  <c r="G558" i="2"/>
  <c r="M597" i="2"/>
  <c r="M449" i="2"/>
  <c r="M448" i="2" s="1"/>
  <c r="F427" i="2"/>
  <c r="M538" i="2"/>
  <c r="M411" i="2"/>
  <c r="G427" i="2"/>
  <c r="H597" i="2"/>
  <c r="E61" i="1" s="1"/>
  <c r="I597" i="2"/>
  <c r="F597" i="2"/>
  <c r="C61" i="1" s="1"/>
  <c r="G434" i="2"/>
  <c r="G431" i="2" s="1"/>
  <c r="H434" i="2"/>
  <c r="H431" i="2" s="1"/>
  <c r="F29" i="10" s="1"/>
  <c r="I535" i="2"/>
  <c r="H747" i="2"/>
  <c r="F33" i="10"/>
  <c r="I747" i="2"/>
  <c r="G29" i="10"/>
  <c r="G33" i="10"/>
  <c r="H19" i="1"/>
  <c r="H124" i="1" s="1"/>
  <c r="H186" i="1" s="1"/>
  <c r="F19" i="1"/>
  <c r="F124" i="1" s="1"/>
  <c r="F186" i="1" s="1"/>
  <c r="F747" i="2"/>
  <c r="D29" i="10"/>
  <c r="D33" i="10"/>
  <c r="K33" i="10" s="1"/>
  <c r="G747" i="2"/>
  <c r="E29" i="10"/>
  <c r="E33" i="10"/>
  <c r="G19" i="1"/>
  <c r="C19" i="1"/>
  <c r="B74" i="1"/>
  <c r="B70" i="1"/>
  <c r="M70" i="1" s="1"/>
  <c r="U145" i="4"/>
  <c r="D69" i="13"/>
  <c r="D23" i="13"/>
  <c r="D21" i="13" s="1"/>
  <c r="D13" i="13"/>
  <c r="D26" i="13"/>
  <c r="D25" i="13" s="1"/>
  <c r="D66" i="13"/>
  <c r="G66" i="13"/>
  <c r="E31" i="10" s="1"/>
  <c r="K31" i="10" s="1"/>
  <c r="H62" i="13"/>
  <c r="H17" i="13" s="1"/>
  <c r="H15" i="13" s="1"/>
  <c r="M65" i="13"/>
  <c r="G56" i="13"/>
  <c r="M43" i="13"/>
  <c r="L87" i="13"/>
  <c r="L86" i="13" s="1"/>
  <c r="I65" i="1"/>
  <c r="I55" i="13"/>
  <c r="I12" i="13"/>
  <c r="F55" i="13"/>
  <c r="H65" i="1"/>
  <c r="H64" i="1" s="1"/>
  <c r="H63" i="1" s="1"/>
  <c r="H85" i="1" s="1"/>
  <c r="F83" i="13"/>
  <c r="M83" i="13"/>
  <c r="G15" i="13"/>
  <c r="G61" i="13"/>
  <c r="I15" i="13"/>
  <c r="I61" i="13"/>
  <c r="M62" i="13"/>
  <c r="M61" i="13" s="1"/>
  <c r="F61" i="13"/>
  <c r="G55" i="13"/>
  <c r="F104" i="13"/>
  <c r="F106" i="13" s="1"/>
  <c r="H104" i="13"/>
  <c r="H106" i="13" s="1"/>
  <c r="H107" i="13" s="1"/>
  <c r="H88" i="13" s="1"/>
  <c r="H87" i="13" s="1"/>
  <c r="H86" i="13" s="1"/>
  <c r="J104" i="13"/>
  <c r="J106" i="13" s="1"/>
  <c r="M38" i="13"/>
  <c r="M37" i="13" s="1"/>
  <c r="D37" i="13"/>
  <c r="D34" i="13" s="1"/>
  <c r="M64" i="13"/>
  <c r="H56" i="13"/>
  <c r="H14" i="13" s="1"/>
  <c r="E19" i="1" s="1"/>
  <c r="M36" i="13"/>
  <c r="M35" i="13" s="1"/>
  <c r="O41" i="13"/>
  <c r="I104" i="13"/>
  <c r="I106" i="13" s="1"/>
  <c r="I107" i="13" s="1"/>
  <c r="I88" i="13" s="1"/>
  <c r="F65" i="1" s="1"/>
  <c r="F64" i="1" s="1"/>
  <c r="F63" i="1" s="1"/>
  <c r="F85" i="1" s="1"/>
  <c r="K17" i="6"/>
  <c r="G233" i="6"/>
  <c r="D247" i="6"/>
  <c r="D246" i="6" s="1"/>
  <c r="J198" i="6"/>
  <c r="J168" i="6"/>
  <c r="J23" i="6"/>
  <c r="G229" i="6"/>
  <c r="G174" i="6"/>
  <c r="D231" i="6"/>
  <c r="D174" i="6" s="1"/>
  <c r="I315" i="6"/>
  <c r="I317" i="6" s="1"/>
  <c r="I229" i="6"/>
  <c r="I228" i="6" s="1"/>
  <c r="I225" i="6" s="1"/>
  <c r="G166" i="6"/>
  <c r="M166" i="6" s="1"/>
  <c r="M224" i="6"/>
  <c r="D224" i="6"/>
  <c r="G222" i="6"/>
  <c r="G221" i="6" s="1"/>
  <c r="G217" i="6" s="1"/>
  <c r="I164" i="6"/>
  <c r="I318" i="6" s="1"/>
  <c r="I222" i="6"/>
  <c r="I221" i="6" s="1"/>
  <c r="D203" i="6"/>
  <c r="E260" i="6"/>
  <c r="E307" i="6"/>
  <c r="D99" i="6"/>
  <c r="M264" i="6"/>
  <c r="F21" i="6"/>
  <c r="H23" i="6"/>
  <c r="D223" i="6"/>
  <c r="D222" i="6" s="1"/>
  <c r="D230" i="6"/>
  <c r="D196" i="6"/>
  <c r="D164" i="6" s="1"/>
  <c r="M196" i="6"/>
  <c r="D316" i="6"/>
  <c r="G316" i="6"/>
  <c r="G317" i="6" s="1"/>
  <c r="G172" i="6"/>
  <c r="G214" i="6"/>
  <c r="G213" i="6" s="1"/>
  <c r="I172" i="6"/>
  <c r="I214" i="6"/>
  <c r="I213" i="6" s="1"/>
  <c r="I212" i="6" s="1"/>
  <c r="D211" i="6"/>
  <c r="M211" i="6"/>
  <c r="H210" i="6"/>
  <c r="H209" i="6" s="1"/>
  <c r="H206" i="6" s="1"/>
  <c r="G164" i="6"/>
  <c r="G318" i="6" s="1"/>
  <c r="G181" i="6"/>
  <c r="G180" i="6" s="1"/>
  <c r="G176" i="6" s="1"/>
  <c r="F159" i="6"/>
  <c r="M150" i="6"/>
  <c r="F234" i="6"/>
  <c r="F233" i="6" s="1"/>
  <c r="F259" i="6"/>
  <c r="H60" i="6"/>
  <c r="G60" i="6"/>
  <c r="I60" i="6"/>
  <c r="M27" i="6"/>
  <c r="D126" i="6"/>
  <c r="F206" i="6"/>
  <c r="G206" i="6"/>
  <c r="F198" i="6"/>
  <c r="D199" i="6"/>
  <c r="D184" i="6"/>
  <c r="D177" i="6"/>
  <c r="L14" i="6"/>
  <c r="J13" i="6"/>
  <c r="G14" i="6"/>
  <c r="D155" i="6"/>
  <c r="D154" i="6" s="1"/>
  <c r="M235" i="6"/>
  <c r="M234" i="6" s="1"/>
  <c r="D243" i="6"/>
  <c r="F162" i="6"/>
  <c r="K14" i="6"/>
  <c r="I14" i="6"/>
  <c r="M218" i="6"/>
  <c r="F317" i="6"/>
  <c r="M246" i="6"/>
  <c r="H14" i="6"/>
  <c r="H13" i="6" s="1"/>
  <c r="D252" i="6"/>
  <c r="D251" i="6" s="1"/>
  <c r="D608" i="2"/>
  <c r="H550" i="2"/>
  <c r="I596" i="2"/>
  <c r="F605" i="2"/>
  <c r="F604" i="2" s="1"/>
  <c r="I605" i="2"/>
  <c r="I604" i="2" s="1"/>
  <c r="H80" i="1"/>
  <c r="H140" i="1" s="1"/>
  <c r="H202" i="1" s="1"/>
  <c r="K605" i="2"/>
  <c r="K604" i="2" s="1"/>
  <c r="H600" i="2"/>
  <c r="B78" i="1"/>
  <c r="J78" i="1" s="1"/>
  <c r="H596" i="2"/>
  <c r="M53" i="2"/>
  <c r="M124" i="2"/>
  <c r="M157" i="2"/>
  <c r="M189" i="2"/>
  <c r="G605" i="2"/>
  <c r="G604" i="2" s="1"/>
  <c r="H605" i="2"/>
  <c r="H604" i="2" s="1"/>
  <c r="I80" i="1"/>
  <c r="I140" i="1" s="1"/>
  <c r="I202" i="1" s="1"/>
  <c r="L605" i="2"/>
  <c r="L604" i="2" s="1"/>
  <c r="G80" i="1"/>
  <c r="G140" i="1" s="1"/>
  <c r="G202" i="1" s="1"/>
  <c r="J605" i="2"/>
  <c r="J604" i="2" s="1"/>
  <c r="G600" i="2"/>
  <c r="G599" i="2" s="1"/>
  <c r="E747" i="2"/>
  <c r="F328" i="2"/>
  <c r="F327" i="2" s="1"/>
  <c r="F600" i="2"/>
  <c r="B142" i="1"/>
  <c r="B204" i="1" s="1"/>
  <c r="K20" i="1"/>
  <c r="K125" i="1" s="1"/>
  <c r="K30" i="1"/>
  <c r="K130" i="1" s="1"/>
  <c r="G482" i="2"/>
  <c r="I550" i="2"/>
  <c r="I558" i="2"/>
  <c r="H194" i="6"/>
  <c r="M194" i="6" s="1"/>
  <c r="M195" i="6"/>
  <c r="I168" i="6"/>
  <c r="H159" i="6"/>
  <c r="I206" i="6"/>
  <c r="D202" i="6"/>
  <c r="G198" i="6"/>
  <c r="K190" i="6"/>
  <c r="I190" i="6"/>
  <c r="G190" i="6"/>
  <c r="K162" i="6"/>
  <c r="J317" i="6"/>
  <c r="F258" i="6"/>
  <c r="M61" i="6"/>
  <c r="M60" i="6" s="1"/>
  <c r="J306" i="6"/>
  <c r="D60" i="6"/>
  <c r="D66" i="6"/>
  <c r="L163" i="6"/>
  <c r="K317" i="6"/>
  <c r="L206" i="6"/>
  <c r="J206" i="6"/>
  <c r="L198" i="6"/>
  <c r="J163" i="6"/>
  <c r="L159" i="6"/>
  <c r="H317" i="6"/>
  <c r="H163" i="6"/>
  <c r="H198" i="6"/>
  <c r="M222" i="6"/>
  <c r="M177" i="6"/>
  <c r="K176" i="6"/>
  <c r="D169" i="6"/>
  <c r="M165" i="6"/>
  <c r="E318" i="6"/>
  <c r="K16" i="6"/>
  <c r="K159" i="6"/>
  <c r="M161" i="6"/>
  <c r="G16" i="6"/>
  <c r="D22" i="1" s="1"/>
  <c r="H171" i="6"/>
  <c r="H25" i="6" s="1"/>
  <c r="D210" i="6"/>
  <c r="M207" i="6"/>
  <c r="D207" i="6"/>
  <c r="K201" i="6"/>
  <c r="K198" i="6" s="1"/>
  <c r="K171" i="6"/>
  <c r="K25" i="6" s="1"/>
  <c r="I201" i="6"/>
  <c r="I198" i="6" s="1"/>
  <c r="I171" i="6"/>
  <c r="I25" i="6" s="1"/>
  <c r="D195" i="6"/>
  <c r="M191" i="6"/>
  <c r="M190" i="6" s="1"/>
  <c r="L171" i="6"/>
  <c r="L186" i="6"/>
  <c r="L183" i="6" s="1"/>
  <c r="F171" i="6"/>
  <c r="D187" i="6"/>
  <c r="J183" i="6"/>
  <c r="I217" i="6"/>
  <c r="L190" i="6"/>
  <c r="J190" i="6"/>
  <c r="H190" i="6"/>
  <c r="F190" i="6"/>
  <c r="K23" i="1"/>
  <c r="I115" i="6"/>
  <c r="I114" i="6" s="1"/>
  <c r="H306" i="6"/>
  <c r="H187" i="9"/>
  <c r="G10" i="9"/>
  <c r="M187" i="9"/>
  <c r="D188" i="9"/>
  <c r="D187" i="9" s="1"/>
  <c r="G187" i="9"/>
  <c r="J17" i="3"/>
  <c r="D104" i="13"/>
  <c r="D106" i="13" s="1"/>
  <c r="J107" i="13"/>
  <c r="J88" i="13" s="1"/>
  <c r="D241" i="6"/>
  <c r="J115" i="6"/>
  <c r="F115" i="6"/>
  <c r="D116" i="3"/>
  <c r="D115" i="3" s="1"/>
  <c r="D215" i="3"/>
  <c r="M67" i="3"/>
  <c r="D47" i="3"/>
  <c r="M175" i="3"/>
  <c r="F52" i="3"/>
  <c r="G229" i="3"/>
  <c r="G272" i="3" s="1"/>
  <c r="H151" i="3"/>
  <c r="H157" i="3"/>
  <c r="F24" i="10" s="1"/>
  <c r="H44" i="3"/>
  <c r="M153" i="3"/>
  <c r="M152" i="3" s="1"/>
  <c r="M151" i="3" s="1"/>
  <c r="F152" i="3"/>
  <c r="G21" i="3"/>
  <c r="G47" i="3"/>
  <c r="I21" i="3"/>
  <c r="I47" i="3"/>
  <c r="K16" i="3"/>
  <c r="K14" i="3" s="1"/>
  <c r="K57" i="3"/>
  <c r="G16" i="3"/>
  <c r="G57" i="3"/>
  <c r="M58" i="3"/>
  <c r="M57" i="3" s="1"/>
  <c r="F169" i="3"/>
  <c r="F272" i="3" s="1"/>
  <c r="F22" i="3"/>
  <c r="F20" i="3" s="1"/>
  <c r="F17" i="3" s="1"/>
  <c r="F64" i="3"/>
  <c r="D163" i="3"/>
  <c r="D172" i="3"/>
  <c r="D169" i="3" s="1"/>
  <c r="J44" i="3"/>
  <c r="D35" i="10"/>
  <c r="F33" i="3"/>
  <c r="M36" i="3"/>
  <c r="D92" i="3"/>
  <c r="D187" i="3"/>
  <c r="F157" i="3"/>
  <c r="D152" i="3"/>
  <c r="D160" i="3"/>
  <c r="D157" i="3" s="1"/>
  <c r="L271" i="3"/>
  <c r="F163" i="3"/>
  <c r="L52" i="3"/>
  <c r="G27" i="6"/>
  <c r="K27" i="6"/>
  <c r="I30" i="10" s="1"/>
  <c r="D172" i="6"/>
  <c r="G212" i="6"/>
  <c r="J171" i="6"/>
  <c r="J25" i="6" s="1"/>
  <c r="D85" i="3"/>
  <c r="L16" i="3"/>
  <c r="L14" i="3" s="1"/>
  <c r="J16" i="3"/>
  <c r="J14" i="3" s="1"/>
  <c r="M163" i="3"/>
  <c r="M153" i="9"/>
  <c r="D157" i="9"/>
  <c r="M251" i="2"/>
  <c r="M83" i="6"/>
  <c r="F77" i="6"/>
  <c r="J27" i="6"/>
  <c r="H30" i="10" s="1"/>
  <c r="D270" i="6"/>
  <c r="D269" i="6" s="1"/>
  <c r="D260" i="6" s="1"/>
  <c r="F263" i="6"/>
  <c r="F27" i="6"/>
  <c r="H27" i="6"/>
  <c r="M233" i="6"/>
  <c r="G307" i="6"/>
  <c r="G144" i="6"/>
  <c r="I307" i="6"/>
  <c r="I144" i="6"/>
  <c r="K144" i="6"/>
  <c r="K307" i="6"/>
  <c r="F307" i="6"/>
  <c r="F144" i="6"/>
  <c r="H307" i="6"/>
  <c r="H144" i="6"/>
  <c r="J144" i="6"/>
  <c r="J307" i="6"/>
  <c r="L144" i="6"/>
  <c r="L307" i="6"/>
  <c r="K18" i="6"/>
  <c r="G99" i="6"/>
  <c r="F61" i="1"/>
  <c r="M105" i="6"/>
  <c r="K10" i="9"/>
  <c r="I258" i="6"/>
  <c r="F60" i="1"/>
  <c r="E60" i="1"/>
  <c r="H258" i="6"/>
  <c r="G258" i="6"/>
  <c r="M259" i="6"/>
  <c r="M258" i="6" s="1"/>
  <c r="K68" i="1"/>
  <c r="K123" i="1" s="1"/>
  <c r="L17" i="3"/>
  <c r="D181" i="3"/>
  <c r="H223" i="3"/>
  <c r="H9" i="3" s="1"/>
  <c r="J223" i="3"/>
  <c r="J9" i="3" s="1"/>
  <c r="J12" i="3"/>
  <c r="J11" i="3" s="1"/>
  <c r="H52" i="3"/>
  <c r="H12" i="3"/>
  <c r="H11" i="3" s="1"/>
  <c r="D176" i="3"/>
  <c r="D175" i="3" s="1"/>
  <c r="K12" i="3"/>
  <c r="K11" i="3" s="1"/>
  <c r="I12" i="3"/>
  <c r="I11" i="3" s="1"/>
  <c r="G12" i="3"/>
  <c r="G11" i="3" s="1"/>
  <c r="K223" i="3"/>
  <c r="K9" i="3" s="1"/>
  <c r="G151" i="3"/>
  <c r="H34" i="10"/>
  <c r="D230" i="3"/>
  <c r="D199" i="3"/>
  <c r="D205" i="3"/>
  <c r="G39" i="3"/>
  <c r="G15" i="3" s="1"/>
  <c r="I39" i="3"/>
  <c r="I15" i="3" s="1"/>
  <c r="K229" i="3"/>
  <c r="G20" i="3"/>
  <c r="G17" i="3" s="1"/>
  <c r="I20" i="3"/>
  <c r="I17" i="3" s="1"/>
  <c r="M199" i="3"/>
  <c r="D193" i="3"/>
  <c r="H39" i="3"/>
  <c r="H15" i="3" s="1"/>
  <c r="H20" i="3"/>
  <c r="H17" i="3" s="1"/>
  <c r="M42" i="3"/>
  <c r="D212" i="3"/>
  <c r="D211" i="3" s="1"/>
  <c r="D127" i="3"/>
  <c r="G38" i="3"/>
  <c r="D227" i="3"/>
  <c r="F23" i="10"/>
  <c r="F15" i="3"/>
  <c r="F38" i="3"/>
  <c r="D44" i="3"/>
  <c r="H38" i="3"/>
  <c r="D224" i="3"/>
  <c r="D232" i="3"/>
  <c r="G23" i="10"/>
  <c r="M41" i="3"/>
  <c r="G223" i="3"/>
  <c r="G9" i="3" s="1"/>
  <c r="I223" i="3"/>
  <c r="I9" i="3" s="1"/>
  <c r="M53" i="3"/>
  <c r="M52" i="3" s="1"/>
  <c r="M51" i="3" s="1"/>
  <c r="D133" i="3"/>
  <c r="D91" i="3"/>
  <c r="D103" i="3"/>
  <c r="D109" i="3"/>
  <c r="M139" i="3"/>
  <c r="M9" i="3" s="1"/>
  <c r="D121" i="3"/>
  <c r="D145" i="3"/>
  <c r="D71" i="3"/>
  <c r="K17" i="3"/>
  <c r="L51" i="3"/>
  <c r="J51" i="3"/>
  <c r="D19" i="3"/>
  <c r="D18" i="3" s="1"/>
  <c r="L81" i="1"/>
  <c r="F165" i="1"/>
  <c r="I125" i="1"/>
  <c r="I191" i="1" s="1"/>
  <c r="F599" i="2"/>
  <c r="F598" i="2" s="1"/>
  <c r="J10" i="9"/>
  <c r="L306" i="6"/>
  <c r="L125" i="6"/>
  <c r="D294" i="6"/>
  <c r="M115" i="6"/>
  <c r="L115" i="6"/>
  <c r="F125" i="6"/>
  <c r="H125" i="6"/>
  <c r="G115" i="6"/>
  <c r="G306" i="6"/>
  <c r="K125" i="6"/>
  <c r="C17" i="10"/>
  <c r="I45" i="1"/>
  <c r="I145" i="1" s="1"/>
  <c r="I207" i="1" s="1"/>
  <c r="H45" i="1"/>
  <c r="H145" i="1" s="1"/>
  <c r="H207" i="1" s="1"/>
  <c r="F45" i="1"/>
  <c r="F145" i="1" s="1"/>
  <c r="F207" i="1" s="1"/>
  <c r="B141" i="1"/>
  <c r="B203" i="1" s="1"/>
  <c r="B130" i="1"/>
  <c r="B192" i="1" s="1"/>
  <c r="E138" i="1"/>
  <c r="E200" i="1" s="1"/>
  <c r="C125" i="1"/>
  <c r="C191" i="1" s="1"/>
  <c r="D141" i="1"/>
  <c r="D203" i="1" s="1"/>
  <c r="F141" i="1"/>
  <c r="F203" i="1" s="1"/>
  <c r="J165" i="1"/>
  <c r="D108" i="2"/>
  <c r="E108" i="2"/>
  <c r="E106" i="2"/>
  <c r="D171" i="2"/>
  <c r="E171" i="2"/>
  <c r="M437" i="2"/>
  <c r="M447" i="2"/>
  <c r="J542" i="2"/>
  <c r="L546" i="2"/>
  <c r="K586" i="2"/>
  <c r="K9" i="2" s="1"/>
  <c r="K8" i="2" s="1"/>
  <c r="M388" i="2"/>
  <c r="D465" i="2"/>
  <c r="D462" i="2" s="1"/>
  <c r="M468" i="2"/>
  <c r="M315" i="2"/>
  <c r="D437" i="2"/>
  <c r="D408" i="2"/>
  <c r="D405" i="2" s="1"/>
  <c r="D548" i="2"/>
  <c r="D33" i="2" s="1"/>
  <c r="E548" i="2"/>
  <c r="E33" i="2" s="1"/>
  <c r="H33" i="2"/>
  <c r="E43" i="1" s="1"/>
  <c r="E146" i="1" s="1"/>
  <c r="E208" i="1" s="1"/>
  <c r="H546" i="2"/>
  <c r="H542" i="2" s="1"/>
  <c r="I33" i="2"/>
  <c r="F43" i="1" s="1"/>
  <c r="F146" i="1" s="1"/>
  <c r="F208" i="1" s="1"/>
  <c r="I546" i="2"/>
  <c r="I542" i="2" s="1"/>
  <c r="M550" i="2"/>
  <c r="M586" i="2"/>
  <c r="L19" i="2"/>
  <c r="I29" i="1" s="1"/>
  <c r="I128" i="1" s="1"/>
  <c r="I189" i="1" s="1"/>
  <c r="L580" i="2"/>
  <c r="J19" i="2"/>
  <c r="J580" i="2"/>
  <c r="J577" i="2" s="1"/>
  <c r="H40" i="10" s="1"/>
  <c r="D640" i="2"/>
  <c r="D639" i="2" s="1"/>
  <c r="H491" i="2"/>
  <c r="F303" i="2"/>
  <c r="G303" i="2"/>
  <c r="D563" i="2"/>
  <c r="D558" i="2" s="1"/>
  <c r="H535" i="2"/>
  <c r="H534" i="2" s="1"/>
  <c r="I539" i="2"/>
  <c r="I36" i="2"/>
  <c r="F452" i="2"/>
  <c r="K148" i="1"/>
  <c r="K30" i="2"/>
  <c r="K49" i="2"/>
  <c r="K27" i="2"/>
  <c r="H39" i="1" s="1"/>
  <c r="H143" i="1" s="1"/>
  <c r="H205" i="1" s="1"/>
  <c r="K44" i="2"/>
  <c r="K19" i="2"/>
  <c r="H29" i="1" s="1"/>
  <c r="H128" i="1" s="1"/>
  <c r="H189" i="1" s="1"/>
  <c r="K580" i="2"/>
  <c r="K577" i="2" s="1"/>
  <c r="I40" i="10" s="1"/>
  <c r="L578" i="2"/>
  <c r="L577" i="2" s="1"/>
  <c r="J40" i="10" s="1"/>
  <c r="L13" i="2"/>
  <c r="I18" i="1" s="1"/>
  <c r="K26" i="2"/>
  <c r="K543" i="2"/>
  <c r="K542" i="2" s="1"/>
  <c r="L24" i="2"/>
  <c r="I34" i="1" s="1"/>
  <c r="L543" i="2"/>
  <c r="L542" i="2" s="1"/>
  <c r="L14" i="2"/>
  <c r="I19" i="1" s="1"/>
  <c r="L535" i="2"/>
  <c r="L534" i="2" s="1"/>
  <c r="D394" i="2"/>
  <c r="D393" i="2" s="1"/>
  <c r="D487" i="2"/>
  <c r="I491" i="2"/>
  <c r="G495" i="2"/>
  <c r="F495" i="2"/>
  <c r="H495" i="2"/>
  <c r="G500" i="2"/>
  <c r="F291" i="2"/>
  <c r="D292" i="2"/>
  <c r="D116" i="2"/>
  <c r="J535" i="2"/>
  <c r="F411" i="2"/>
  <c r="F315" i="2"/>
  <c r="M670" i="2"/>
  <c r="M669" i="2" s="1"/>
  <c r="J586" i="2"/>
  <c r="D198" i="2"/>
  <c r="M198" i="2"/>
  <c r="M568" i="2"/>
  <c r="M387" i="2"/>
  <c r="F447" i="2"/>
  <c r="F456" i="2"/>
  <c r="G357" i="2"/>
  <c r="D134" i="2"/>
  <c r="D133" i="2" s="1"/>
  <c r="D283" i="2"/>
  <c r="F279" i="2"/>
  <c r="F321" i="2"/>
  <c r="M303" i="2"/>
  <c r="M477" i="2"/>
  <c r="D333" i="2"/>
  <c r="F333" i="2"/>
  <c r="F339" i="2"/>
  <c r="F345" i="2"/>
  <c r="G363" i="2"/>
  <c r="F357" i="2"/>
  <c r="D276" i="2"/>
  <c r="D273" i="2" s="1"/>
  <c r="E124" i="2"/>
  <c r="E587" i="2"/>
  <c r="E586" i="2" s="1"/>
  <c r="E579" i="2"/>
  <c r="E578" i="2" s="1"/>
  <c r="E577" i="2" s="1"/>
  <c r="C40" i="10" s="1"/>
  <c r="D288" i="2"/>
  <c r="D285" i="2" s="1"/>
  <c r="D300" i="2"/>
  <c r="D297" i="2" s="1"/>
  <c r="F231" i="2"/>
  <c r="D474" i="2"/>
  <c r="D473" i="2" s="1"/>
  <c r="M675" i="2"/>
  <c r="M674" i="2" s="1"/>
  <c r="M673" i="2" s="1"/>
  <c r="M596" i="2" s="1"/>
  <c r="M595" i="2" s="1"/>
  <c r="H418" i="2"/>
  <c r="D304" i="2"/>
  <c r="D303" i="2" s="1"/>
  <c r="D357" i="2"/>
  <c r="E102" i="2"/>
  <c r="D321" i="2"/>
  <c r="D113" i="2"/>
  <c r="E113" i="2"/>
  <c r="D184" i="2"/>
  <c r="E184" i="2"/>
  <c r="D232" i="2"/>
  <c r="D271" i="2"/>
  <c r="D268" i="2"/>
  <c r="D124" i="2"/>
  <c r="F273" i="2"/>
  <c r="F259" i="2"/>
  <c r="F381" i="2"/>
  <c r="D655" i="2"/>
  <c r="D654" i="2" s="1"/>
  <c r="G577" i="2"/>
  <c r="E40" i="10" s="1"/>
  <c r="M269" i="2"/>
  <c r="M268" i="2" s="1"/>
  <c r="M267" i="2" s="1"/>
  <c r="F468" i="2"/>
  <c r="F477" i="2"/>
  <c r="F482" i="2"/>
  <c r="F486" i="2"/>
  <c r="F309" i="2"/>
  <c r="G345" i="2"/>
  <c r="G351" i="2"/>
  <c r="O586" i="2"/>
  <c r="D235" i="2"/>
  <c r="D547" i="2"/>
  <c r="D546" i="2" s="1"/>
  <c r="D542" i="2" s="1"/>
  <c r="D192" i="2"/>
  <c r="D151" i="2"/>
  <c r="K21" i="1"/>
  <c r="D50" i="2"/>
  <c r="D30" i="2" s="1"/>
  <c r="I28" i="1"/>
  <c r="I131" i="1" s="1"/>
  <c r="I193" i="1" s="1"/>
  <c r="F596" i="2"/>
  <c r="H577" i="2"/>
  <c r="F40" i="10" s="1"/>
  <c r="D483" i="2"/>
  <c r="D482" i="2" s="1"/>
  <c r="D312" i="2"/>
  <c r="D309" i="2" s="1"/>
  <c r="D319" i="2"/>
  <c r="D315" i="2" s="1"/>
  <c r="D381" i="2"/>
  <c r="G596" i="2"/>
  <c r="D60" i="1" s="1"/>
  <c r="F375" i="2"/>
  <c r="D225" i="2"/>
  <c r="F42" i="2"/>
  <c r="M339" i="2"/>
  <c r="D345" i="2"/>
  <c r="D352" i="2"/>
  <c r="D351" i="2" s="1"/>
  <c r="M363" i="2"/>
  <c r="D516" i="2"/>
  <c r="M327" i="2"/>
  <c r="G327" i="2"/>
  <c r="G339" i="2"/>
  <c r="D364" i="2"/>
  <c r="D363" i="2" s="1"/>
  <c r="M38" i="2"/>
  <c r="F405" i="2"/>
  <c r="F126" i="1"/>
  <c r="F187" i="1" s="1"/>
  <c r="B40" i="1"/>
  <c r="M577" i="2"/>
  <c r="D571" i="2"/>
  <c r="D568" i="2" s="1"/>
  <c r="D540" i="2"/>
  <c r="D24" i="1"/>
  <c r="M17" i="2"/>
  <c r="D73" i="2"/>
  <c r="D71" i="2" s="1"/>
  <c r="D67" i="2" s="1"/>
  <c r="E71" i="2"/>
  <c r="E67" i="2" s="1"/>
  <c r="D220" i="2"/>
  <c r="D219" i="2" s="1"/>
  <c r="G23" i="2"/>
  <c r="D146" i="1"/>
  <c r="D208" i="1" s="1"/>
  <c r="B50" i="1"/>
  <c r="D139" i="2"/>
  <c r="D181" i="2"/>
  <c r="C28" i="1"/>
  <c r="M21" i="2"/>
  <c r="D376" i="2"/>
  <c r="D375" i="2" s="1"/>
  <c r="D450" i="2"/>
  <c r="D453" i="2"/>
  <c r="D452" i="2" s="1"/>
  <c r="D711" i="2"/>
  <c r="D710" i="2" s="1"/>
  <c r="M39" i="2"/>
  <c r="I577" i="2"/>
  <c r="G40" i="10" s="1"/>
  <c r="H595" i="2"/>
  <c r="E541" i="2"/>
  <c r="D190" i="2"/>
  <c r="I534" i="2"/>
  <c r="K29" i="2"/>
  <c r="D612" i="2"/>
  <c r="D611" i="2" s="1"/>
  <c r="E46" i="1"/>
  <c r="F31" i="2"/>
  <c r="C45" i="1" s="1"/>
  <c r="C145" i="1" s="1"/>
  <c r="C207" i="1" s="1"/>
  <c r="D501" i="2"/>
  <c r="D500" i="2" s="1"/>
  <c r="L29" i="2"/>
  <c r="J534" i="2"/>
  <c r="F36" i="2"/>
  <c r="L44" i="2"/>
  <c r="H26" i="2"/>
  <c r="H23" i="2" s="1"/>
  <c r="D471" i="2"/>
  <c r="D489" i="2"/>
  <c r="D280" i="2"/>
  <c r="D279" i="2" s="1"/>
  <c r="F80" i="1"/>
  <c r="F140" i="1" s="1"/>
  <c r="F202" i="1" s="1"/>
  <c r="D369" i="2"/>
  <c r="E80" i="1"/>
  <c r="E140" i="1" s="1"/>
  <c r="E202" i="1" s="1"/>
  <c r="D328" i="2"/>
  <c r="D327" i="2" s="1"/>
  <c r="H678" i="2"/>
  <c r="H677" i="2" s="1"/>
  <c r="E102" i="1" s="1"/>
  <c r="H411" i="2"/>
  <c r="M601" i="2"/>
  <c r="D400" i="2"/>
  <c r="M351" i="2"/>
  <c r="F363" i="2"/>
  <c r="I20" i="2"/>
  <c r="G20" i="2"/>
  <c r="I19" i="2"/>
  <c r="I18" i="2" s="1"/>
  <c r="G19" i="2"/>
  <c r="G18" i="2" s="1"/>
  <c r="I101" i="1"/>
  <c r="D339" i="2"/>
  <c r="G369" i="2"/>
  <c r="K13" i="2"/>
  <c r="I13" i="2"/>
  <c r="I12" i="2" s="1"/>
  <c r="L49" i="2"/>
  <c r="H49" i="2"/>
  <c r="H19" i="2"/>
  <c r="H18" i="2" s="1"/>
  <c r="D508" i="2"/>
  <c r="F511" i="2"/>
  <c r="D513" i="2"/>
  <c r="C513" i="2" s="1"/>
  <c r="D514" i="2"/>
  <c r="C514" i="2" s="1"/>
  <c r="G45" i="1"/>
  <c r="G145" i="1" s="1"/>
  <c r="G207" i="1" s="1"/>
  <c r="F138" i="1"/>
  <c r="F200" i="1" s="1"/>
  <c r="C138" i="1"/>
  <c r="C200" i="1" s="1"/>
  <c r="K69" i="1"/>
  <c r="E126" i="1"/>
  <c r="E187" i="1" s="1"/>
  <c r="C126" i="1"/>
  <c r="C187" i="1" s="1"/>
  <c r="D126" i="1"/>
  <c r="D187" i="1" s="1"/>
  <c r="I23" i="2"/>
  <c r="K535" i="2"/>
  <c r="K534" i="2" s="1"/>
  <c r="D138" i="1"/>
  <c r="D200" i="1" s="1"/>
  <c r="G598" i="2"/>
  <c r="M14" i="2"/>
  <c r="D747" i="2"/>
  <c r="H16" i="2"/>
  <c r="C60" i="1"/>
  <c r="D403" i="2"/>
  <c r="D399" i="2" s="1"/>
  <c r="H44" i="2"/>
  <c r="L23" i="2"/>
  <c r="K41" i="2"/>
  <c r="K20" i="2"/>
  <c r="K18" i="2" s="1"/>
  <c r="J32" i="2"/>
  <c r="J49" i="2"/>
  <c r="F399" i="2"/>
  <c r="L36" i="2"/>
  <c r="L35" i="2" s="1"/>
  <c r="L16" i="2"/>
  <c r="J36" i="2"/>
  <c r="J35" i="2" s="1"/>
  <c r="J16" i="2"/>
  <c r="J26" i="2"/>
  <c r="J44" i="2"/>
  <c r="F26" i="2"/>
  <c r="F44" i="2"/>
  <c r="F43" i="2" s="1"/>
  <c r="M399" i="2"/>
  <c r="I418" i="2"/>
  <c r="G10" i="2"/>
  <c r="D40" i="2"/>
  <c r="D16" i="2" s="1"/>
  <c r="D412" i="2"/>
  <c r="D411" i="2" s="1"/>
  <c r="F16" i="2"/>
  <c r="C22" i="1" s="1"/>
  <c r="M40" i="2"/>
  <c r="D419" i="2"/>
  <c r="D418" i="2" s="1"/>
  <c r="I35" i="2"/>
  <c r="I411" i="2"/>
  <c r="M37" i="2"/>
  <c r="G36" i="2"/>
  <c r="G35" i="2" s="1"/>
  <c r="H36" i="2"/>
  <c r="H35" i="2" s="1"/>
  <c r="L44" i="1"/>
  <c r="H138" i="1"/>
  <c r="H200" i="1" s="1"/>
  <c r="I126" i="1"/>
  <c r="I187" i="1" s="1"/>
  <c r="G126" i="1"/>
  <c r="G187" i="1" s="1"/>
  <c r="I138" i="1"/>
  <c r="I200" i="1" s="1"/>
  <c r="G138" i="1"/>
  <c r="G200" i="1" s="1"/>
  <c r="H126" i="1"/>
  <c r="H187" i="1" s="1"/>
  <c r="J23" i="4"/>
  <c r="G13" i="4"/>
  <c r="L104" i="4"/>
  <c r="D101" i="1"/>
  <c r="K70" i="1"/>
  <c r="F143" i="4"/>
  <c r="F15" i="4"/>
  <c r="H76" i="1"/>
  <c r="H75" i="1" s="1"/>
  <c r="H86" i="1" s="1"/>
  <c r="M12" i="4"/>
  <c r="D17" i="4"/>
  <c r="H101" i="1"/>
  <c r="G76" i="1"/>
  <c r="G75" i="1" s="1"/>
  <c r="G86" i="1" s="1"/>
  <c r="I76" i="1"/>
  <c r="I75" i="1" s="1"/>
  <c r="I86" i="1" s="1"/>
  <c r="M11" i="4"/>
  <c r="M10" i="4" s="1"/>
  <c r="D128" i="4"/>
  <c r="D127" i="4" s="1"/>
  <c r="M15" i="4"/>
  <c r="M14" i="4" s="1"/>
  <c r="M13" i="4" s="1"/>
  <c r="M12" i="9"/>
  <c r="M11" i="9" s="1"/>
  <c r="K51" i="3"/>
  <c r="G51" i="3"/>
  <c r="D52" i="3"/>
  <c r="D51" i="3" s="1"/>
  <c r="H51" i="3"/>
  <c r="I51" i="3"/>
  <c r="F57" i="3"/>
  <c r="B19" i="1"/>
  <c r="D165" i="9"/>
  <c r="D8" i="9" s="1"/>
  <c r="M165" i="9"/>
  <c r="G165" i="9"/>
  <c r="F165" i="9"/>
  <c r="H178" i="9"/>
  <c r="G178" i="9"/>
  <c r="I25" i="10"/>
  <c r="I64" i="1"/>
  <c r="I63" i="1" s="1"/>
  <c r="I85" i="1" s="1"/>
  <c r="L174" i="9"/>
  <c r="K174" i="9"/>
  <c r="J174" i="9"/>
  <c r="I174" i="9"/>
  <c r="H174" i="9"/>
  <c r="G174" i="9"/>
  <c r="F174" i="9"/>
  <c r="I183" i="9"/>
  <c r="H183" i="9"/>
  <c r="G183" i="9"/>
  <c r="F183" i="9"/>
  <c r="L183" i="9"/>
  <c r="L284" i="9" s="1"/>
  <c r="K183" i="9"/>
  <c r="J183" i="9"/>
  <c r="J284" i="9" s="1"/>
  <c r="K140" i="9"/>
  <c r="K284" i="9" s="1"/>
  <c r="G104" i="9"/>
  <c r="G284" i="9" s="1"/>
  <c r="K66" i="1"/>
  <c r="F127" i="1"/>
  <c r="F188" i="1" s="1"/>
  <c r="G149" i="9"/>
  <c r="H140" i="9"/>
  <c r="K139" i="6"/>
  <c r="K11" i="6" s="1"/>
  <c r="L139" i="6"/>
  <c r="L11" i="6" s="1"/>
  <c r="I17" i="6"/>
  <c r="F25" i="1" s="1"/>
  <c r="G17" i="6"/>
  <c r="D25" i="1" s="1"/>
  <c r="J125" i="6"/>
  <c r="I306" i="6"/>
  <c r="K115" i="6"/>
  <c r="K114" i="6" s="1"/>
  <c r="K10" i="6" s="1"/>
  <c r="L309" i="6"/>
  <c r="L320" i="6" s="1"/>
  <c r="I309" i="6"/>
  <c r="D295" i="6"/>
  <c r="D296" i="6" s="1"/>
  <c r="H309" i="6"/>
  <c r="H320" i="6" s="1"/>
  <c r="F309" i="6"/>
  <c r="F320" i="6" s="1"/>
  <c r="F306" i="6"/>
  <c r="K306" i="6"/>
  <c r="J309" i="6"/>
  <c r="G309" i="6"/>
  <c r="K309" i="6"/>
  <c r="F114" i="6"/>
  <c r="G114" i="6"/>
  <c r="G10" i="6" s="1"/>
  <c r="E25" i="1"/>
  <c r="H25" i="1"/>
  <c r="K13" i="6"/>
  <c r="K12" i="6" s="1"/>
  <c r="G13" i="6"/>
  <c r="L13" i="6"/>
  <c r="M209" i="6"/>
  <c r="M206" i="6" s="1"/>
  <c r="D209" i="6"/>
  <c r="D206" i="6" s="1"/>
  <c r="D180" i="6"/>
  <c r="M180" i="6"/>
  <c r="D159" i="6"/>
  <c r="K21" i="6"/>
  <c r="I21" i="6"/>
  <c r="G21" i="6"/>
  <c r="G139" i="6"/>
  <c r="I139" i="6"/>
  <c r="H139" i="6"/>
  <c r="I94" i="6"/>
  <c r="D91" i="6"/>
  <c r="D88" i="6" s="1"/>
  <c r="G88" i="6"/>
  <c r="E20" i="10" s="1"/>
  <c r="E51" i="1"/>
  <c r="H24" i="6"/>
  <c r="G124" i="1"/>
  <c r="G186" i="1" s="1"/>
  <c r="F137" i="1"/>
  <c r="B34" i="1"/>
  <c r="D505" i="2"/>
  <c r="G505" i="2"/>
  <c r="M506" i="2"/>
  <c r="M505" i="2" s="1"/>
  <c r="H505" i="2"/>
  <c r="J426" i="2"/>
  <c r="J425" i="2" s="1"/>
  <c r="H28" i="10" s="1"/>
  <c r="J13" i="2"/>
  <c r="G18" i="1" s="1"/>
  <c r="F505" i="2"/>
  <c r="L11" i="3"/>
  <c r="M13" i="3"/>
  <c r="E137" i="1"/>
  <c r="F223" i="3"/>
  <c r="F9" i="3" s="1"/>
  <c r="D223" i="3"/>
  <c r="D9" i="3" s="1"/>
  <c r="M211" i="3"/>
  <c r="I122" i="1" l="1"/>
  <c r="I184" i="1" s="1"/>
  <c r="I220" i="8"/>
  <c r="K320" i="6"/>
  <c r="J320" i="6"/>
  <c r="I320" i="6"/>
  <c r="O20" i="6"/>
  <c r="M126" i="6"/>
  <c r="M125" i="6" s="1"/>
  <c r="M114" i="6" s="1"/>
  <c r="H18" i="1"/>
  <c r="H122" i="1" s="1"/>
  <c r="K10" i="3"/>
  <c r="H59" i="1"/>
  <c r="K40" i="10"/>
  <c r="M17" i="10"/>
  <c r="K17" i="10"/>
  <c r="K29" i="10"/>
  <c r="M145" i="6"/>
  <c r="M144" i="6" s="1"/>
  <c r="M139" i="6" s="1"/>
  <c r="N27" i="1"/>
  <c r="L220" i="8"/>
  <c r="N30" i="1"/>
  <c r="E52" i="1"/>
  <c r="G220" i="8"/>
  <c r="F220" i="8"/>
  <c r="F15" i="13"/>
  <c r="M17" i="13"/>
  <c r="G14" i="13"/>
  <c r="D56" i="13"/>
  <c r="D14" i="13" s="1"/>
  <c r="D62" i="13"/>
  <c r="D17" i="13" s="1"/>
  <c r="D15" i="13" s="1"/>
  <c r="K8" i="9"/>
  <c r="K7" i="9" s="1"/>
  <c r="L8" i="9"/>
  <c r="L7" i="9" s="1"/>
  <c r="J8" i="9"/>
  <c r="I8" i="9"/>
  <c r="D37" i="10"/>
  <c r="H283" i="9"/>
  <c r="F37" i="10"/>
  <c r="H37" i="10"/>
  <c r="J37" i="10"/>
  <c r="E36" i="10"/>
  <c r="H9" i="9"/>
  <c r="I9" i="9"/>
  <c r="F36" i="10"/>
  <c r="G283" i="9"/>
  <c r="E37" i="10"/>
  <c r="I283" i="9"/>
  <c r="G37" i="10"/>
  <c r="K283" i="9"/>
  <c r="I37" i="10"/>
  <c r="F8" i="9"/>
  <c r="D36" i="10"/>
  <c r="J13" i="10"/>
  <c r="L9" i="8"/>
  <c r="L8" i="8" s="1"/>
  <c r="O31" i="8"/>
  <c r="O25" i="8"/>
  <c r="D80" i="8"/>
  <c r="D79" i="8" s="1"/>
  <c r="D16" i="8"/>
  <c r="D32" i="8"/>
  <c r="D18" i="8"/>
  <c r="F13" i="10"/>
  <c r="K13" i="10" s="1"/>
  <c r="H9" i="8"/>
  <c r="H8" i="8" s="1"/>
  <c r="M138" i="8"/>
  <c r="M137" i="8" s="1"/>
  <c r="D27" i="8"/>
  <c r="D23" i="8" s="1"/>
  <c r="M82" i="8"/>
  <c r="M21" i="8"/>
  <c r="O15" i="8"/>
  <c r="M79" i="8"/>
  <c r="H220" i="8"/>
  <c r="D10" i="8"/>
  <c r="D19" i="8"/>
  <c r="I8" i="8"/>
  <c r="J66" i="1"/>
  <c r="M66" i="1"/>
  <c r="D13" i="8"/>
  <c r="D12" i="8" s="1"/>
  <c r="D9" i="8"/>
  <c r="E11" i="8"/>
  <c r="F140" i="6"/>
  <c r="F139" i="6" s="1"/>
  <c r="F11" i="6" s="1"/>
  <c r="D141" i="6"/>
  <c r="J125" i="1"/>
  <c r="F240" i="6"/>
  <c r="F287" i="6" s="1"/>
  <c r="D19" i="10"/>
  <c r="J34" i="1"/>
  <c r="F59" i="1"/>
  <c r="F10" i="6"/>
  <c r="D145" i="6"/>
  <c r="N71" i="1"/>
  <c r="L11" i="5"/>
  <c r="L10" i="5" s="1"/>
  <c r="H38" i="10"/>
  <c r="K38" i="10" s="1"/>
  <c r="J11" i="5"/>
  <c r="K11" i="5"/>
  <c r="K10" i="5" s="1"/>
  <c r="I38" i="10"/>
  <c r="G101" i="1"/>
  <c r="G100" i="1" s="1"/>
  <c r="J74" i="1"/>
  <c r="M74" i="1"/>
  <c r="M16" i="3"/>
  <c r="I38" i="3"/>
  <c r="E23" i="10"/>
  <c r="D39" i="3"/>
  <c r="D15" i="3" s="1"/>
  <c r="D24" i="10"/>
  <c r="H14" i="3"/>
  <c r="E29" i="1"/>
  <c r="E128" i="1" s="1"/>
  <c r="F32" i="3"/>
  <c r="D33" i="3"/>
  <c r="F151" i="3"/>
  <c r="D77" i="2"/>
  <c r="D74" i="2" s="1"/>
  <c r="L22" i="2"/>
  <c r="F430" i="2"/>
  <c r="D511" i="2"/>
  <c r="E21" i="2"/>
  <c r="B144" i="1"/>
  <c r="B206" i="1" s="1"/>
  <c r="J40" i="1"/>
  <c r="J103" i="1"/>
  <c r="E49" i="2"/>
  <c r="E30" i="2"/>
  <c r="E29" i="2" s="1"/>
  <c r="E36" i="2"/>
  <c r="E41" i="2"/>
  <c r="E20" i="2"/>
  <c r="E18" i="2" s="1"/>
  <c r="M67" i="1"/>
  <c r="E27" i="2"/>
  <c r="B39" i="1" s="1"/>
  <c r="E44" i="2"/>
  <c r="E43" i="2" s="1"/>
  <c r="C8" i="10" s="1"/>
  <c r="B143" i="1"/>
  <c r="B205" i="1" s="1"/>
  <c r="J39" i="1"/>
  <c r="J70" i="1"/>
  <c r="D194" i="6"/>
  <c r="B124" i="1"/>
  <c r="B186" i="1" s="1"/>
  <c r="F25" i="6"/>
  <c r="D229" i="3"/>
  <c r="D267" i="2"/>
  <c r="F19" i="6"/>
  <c r="F18" i="6" s="1"/>
  <c r="I13" i="6"/>
  <c r="M14" i="6"/>
  <c r="P13" i="7"/>
  <c r="P7" i="7"/>
  <c r="P15" i="7"/>
  <c r="B83" i="1"/>
  <c r="J83" i="1" s="1"/>
  <c r="D18" i="7"/>
  <c r="D28" i="7"/>
  <c r="D27" i="7" s="1"/>
  <c r="P14" i="7"/>
  <c r="D15" i="7"/>
  <c r="D14" i="7" s="1"/>
  <c r="P20" i="7"/>
  <c r="K11" i="7"/>
  <c r="K10" i="7" s="1"/>
  <c r="M13" i="7"/>
  <c r="M11" i="7" s="1"/>
  <c r="M10" i="7" s="1"/>
  <c r="D20" i="7"/>
  <c r="D19" i="7" s="1"/>
  <c r="D40" i="7"/>
  <c r="D37" i="7" s="1"/>
  <c r="D9" i="7"/>
  <c r="D7" i="7" s="1"/>
  <c r="D13" i="7"/>
  <c r="D11" i="7" s="1"/>
  <c r="D23" i="7"/>
  <c r="D22" i="7" s="1"/>
  <c r="Q10" i="7" s="1"/>
  <c r="D21" i="9"/>
  <c r="M36" i="2"/>
  <c r="J43" i="2"/>
  <c r="D57" i="2"/>
  <c r="D53" i="2" s="1"/>
  <c r="E57" i="2"/>
  <c r="E53" i="2" s="1"/>
  <c r="H25" i="10"/>
  <c r="K12" i="2"/>
  <c r="K11" i="2" s="1"/>
  <c r="I33" i="1"/>
  <c r="I10" i="2"/>
  <c r="I8" i="2" s="1"/>
  <c r="D48" i="2"/>
  <c r="K35" i="2"/>
  <c r="J144" i="1"/>
  <c r="J206" i="1" s="1"/>
  <c r="H10" i="2"/>
  <c r="D486" i="2"/>
  <c r="D45" i="2"/>
  <c r="D25" i="2" s="1"/>
  <c r="I29" i="2"/>
  <c r="I22" i="2" s="1"/>
  <c r="L18" i="2"/>
  <c r="E116" i="2"/>
  <c r="E112" i="2" s="1"/>
  <c r="D229" i="2"/>
  <c r="D224" i="2" s="1"/>
  <c r="E105" i="2"/>
  <c r="D106" i="2"/>
  <c r="M535" i="2"/>
  <c r="M534" i="2" s="1"/>
  <c r="H38" i="1"/>
  <c r="H139" i="1" s="1"/>
  <c r="H201" i="1" s="1"/>
  <c r="B22" i="1"/>
  <c r="C38" i="1"/>
  <c r="C33" i="1" s="1"/>
  <c r="O37" i="6"/>
  <c r="D36" i="6"/>
  <c r="D35" i="6" s="1"/>
  <c r="G310" i="6"/>
  <c r="G321" i="6" s="1"/>
  <c r="N72" i="1"/>
  <c r="H170" i="6"/>
  <c r="D213" i="6"/>
  <c r="D212" i="6" s="1"/>
  <c r="D240" i="6"/>
  <c r="D127" i="1"/>
  <c r="D188" i="1" s="1"/>
  <c r="D234" i="6"/>
  <c r="D233" i="6" s="1"/>
  <c r="G163" i="6"/>
  <c r="G19" i="6" s="1"/>
  <c r="H21" i="6"/>
  <c r="H20" i="6" s="1"/>
  <c r="E38" i="1"/>
  <c r="J21" i="6"/>
  <c r="G38" i="1"/>
  <c r="H22" i="1"/>
  <c r="H127" i="1" s="1"/>
  <c r="H188" i="1" s="1"/>
  <c r="G595" i="2"/>
  <c r="D632" i="2"/>
  <c r="D631" i="2" s="1"/>
  <c r="G22" i="1"/>
  <c r="G127" i="1" s="1"/>
  <c r="G188" i="1" s="1"/>
  <c r="I22" i="1"/>
  <c r="I127" i="1" s="1"/>
  <c r="I188" i="1" s="1"/>
  <c r="E22" i="1"/>
  <c r="E127" i="1" s="1"/>
  <c r="E188" i="1" s="1"/>
  <c r="H8" i="9"/>
  <c r="D15" i="9"/>
  <c r="D136" i="9"/>
  <c r="D135" i="9" s="1"/>
  <c r="D12" i="9"/>
  <c r="E8" i="9"/>
  <c r="H31" i="1"/>
  <c r="H132" i="1" s="1"/>
  <c r="H194" i="1" s="1"/>
  <c r="H43" i="2"/>
  <c r="D108" i="9"/>
  <c r="D229" i="6"/>
  <c r="G11" i="6"/>
  <c r="I14" i="1"/>
  <c r="I11" i="6"/>
  <c r="H11" i="6"/>
  <c r="H14" i="1"/>
  <c r="I10" i="6"/>
  <c r="L114" i="6"/>
  <c r="J7" i="9"/>
  <c r="I284" i="9"/>
  <c r="N66" i="1"/>
  <c r="M255" i="9"/>
  <c r="F283" i="9"/>
  <c r="I285" i="9"/>
  <c r="I286" i="9" s="1"/>
  <c r="D127" i="9"/>
  <c r="D126" i="9" s="1"/>
  <c r="M253" i="9"/>
  <c r="J253" i="9"/>
  <c r="H284" i="9"/>
  <c r="F284" i="9"/>
  <c r="G108" i="9"/>
  <c r="M108" i="9"/>
  <c r="F135" i="9"/>
  <c r="D14" i="9"/>
  <c r="E284" i="9"/>
  <c r="E285" i="9" s="1"/>
  <c r="E286" i="9" s="1"/>
  <c r="E263" i="9" s="1"/>
  <c r="D20" i="9"/>
  <c r="D17" i="9" s="1"/>
  <c r="I7" i="9"/>
  <c r="G144" i="9"/>
  <c r="G8" i="9" s="1"/>
  <c r="F99" i="9"/>
  <c r="M15" i="9"/>
  <c r="M14" i="9" s="1"/>
  <c r="M10" i="9" s="1"/>
  <c r="F14" i="9"/>
  <c r="F10" i="9" s="1"/>
  <c r="K285" i="9"/>
  <c r="K286" i="9" s="1"/>
  <c r="H98" i="1"/>
  <c r="H92" i="1" s="1"/>
  <c r="D26" i="10"/>
  <c r="J26" i="10"/>
  <c r="J283" i="9"/>
  <c r="J285" i="9" s="1"/>
  <c r="J286" i="9" s="1"/>
  <c r="L283" i="9"/>
  <c r="L285" i="9" s="1"/>
  <c r="L286" i="9" s="1"/>
  <c r="M600" i="2"/>
  <c r="D174" i="2"/>
  <c r="D173" i="2" s="1"/>
  <c r="E174" i="2"/>
  <c r="E173" i="2" s="1"/>
  <c r="E119" i="2"/>
  <c r="E118" i="2" s="1"/>
  <c r="E9" i="2"/>
  <c r="L36" i="1"/>
  <c r="H31" i="2"/>
  <c r="G31" i="2"/>
  <c r="J9" i="2"/>
  <c r="J8" i="2" s="1"/>
  <c r="F18" i="1"/>
  <c r="F122" i="1" s="1"/>
  <c r="F184" i="1" s="1"/>
  <c r="K61" i="1"/>
  <c r="C59" i="1"/>
  <c r="K126" i="1"/>
  <c r="N20" i="1"/>
  <c r="E76" i="1"/>
  <c r="E75" i="1" s="1"/>
  <c r="E86" i="1" s="1"/>
  <c r="K23" i="2"/>
  <c r="F76" i="1"/>
  <c r="F75" i="1" s="1"/>
  <c r="F86" i="1" s="1"/>
  <c r="F100" i="1" s="1"/>
  <c r="I595" i="2"/>
  <c r="F106" i="1"/>
  <c r="H61" i="13"/>
  <c r="M15" i="13"/>
  <c r="G162" i="6"/>
  <c r="M210" i="6"/>
  <c r="D221" i="6"/>
  <c r="D217" i="6" s="1"/>
  <c r="G320" i="6"/>
  <c r="G158" i="6"/>
  <c r="M164" i="6"/>
  <c r="M162" i="6" s="1"/>
  <c r="M181" i="6"/>
  <c r="F158" i="6"/>
  <c r="I163" i="6"/>
  <c r="D181" i="6"/>
  <c r="D318" i="6"/>
  <c r="M318" i="6" s="1"/>
  <c r="B73" i="1"/>
  <c r="M73" i="1" s="1"/>
  <c r="G104" i="13"/>
  <c r="G106" i="13" s="1"/>
  <c r="G107" i="13" s="1"/>
  <c r="G88" i="13" s="1"/>
  <c r="G87" i="13" s="1"/>
  <c r="G86" i="13" s="1"/>
  <c r="M34" i="13"/>
  <c r="H106" i="1"/>
  <c r="H55" i="13"/>
  <c r="G54" i="13"/>
  <c r="E30" i="10" s="1"/>
  <c r="M56" i="13"/>
  <c r="M55" i="13" s="1"/>
  <c r="M54" i="13" s="1"/>
  <c r="F54" i="13"/>
  <c r="D30" i="10" s="1"/>
  <c r="I11" i="13"/>
  <c r="D61" i="13"/>
  <c r="F12" i="13"/>
  <c r="M14" i="13"/>
  <c r="M12" i="13" s="1"/>
  <c r="I54" i="13"/>
  <c r="G30" i="10" s="1"/>
  <c r="I137" i="1"/>
  <c r="D144" i="6"/>
  <c r="D299" i="6" s="1"/>
  <c r="F17" i="6"/>
  <c r="D86" i="6"/>
  <c r="D83" i="6" s="1"/>
  <c r="D73" i="6"/>
  <c r="D72" i="6" s="1"/>
  <c r="D15" i="6"/>
  <c r="E259" i="6"/>
  <c r="E258" i="6" s="1"/>
  <c r="M316" i="6"/>
  <c r="D214" i="6"/>
  <c r="D315" i="6"/>
  <c r="G228" i="6"/>
  <c r="G171" i="6"/>
  <c r="D171" i="6" s="1"/>
  <c r="M221" i="6"/>
  <c r="M217" i="6" s="1"/>
  <c r="C101" i="1"/>
  <c r="D492" i="2"/>
  <c r="D491" i="2" s="1"/>
  <c r="D602" i="2"/>
  <c r="M599" i="2"/>
  <c r="M598" i="2" s="1"/>
  <c r="O598" i="2" s="1"/>
  <c r="H599" i="2"/>
  <c r="H598" i="2" s="1"/>
  <c r="E65" i="1"/>
  <c r="E64" i="1" s="1"/>
  <c r="E63" i="1" s="1"/>
  <c r="E85" i="1" s="1"/>
  <c r="B43" i="1"/>
  <c r="D29" i="1"/>
  <c r="M16" i="6"/>
  <c r="M159" i="6"/>
  <c r="D190" i="6"/>
  <c r="L170" i="6"/>
  <c r="H162" i="6"/>
  <c r="H158" i="6" s="1"/>
  <c r="H19" i="6"/>
  <c r="J162" i="6"/>
  <c r="J19" i="6"/>
  <c r="J18" i="6" s="1"/>
  <c r="J12" i="6" s="1"/>
  <c r="L162" i="6"/>
  <c r="L19" i="6"/>
  <c r="M176" i="6"/>
  <c r="D22" i="6"/>
  <c r="E287" i="6"/>
  <c r="D176" i="6"/>
  <c r="I170" i="6"/>
  <c r="K170" i="6"/>
  <c r="D183" i="6"/>
  <c r="D186" i="6"/>
  <c r="F170" i="6"/>
  <c r="D201" i="6"/>
  <c r="D198" i="6" s="1"/>
  <c r="D166" i="6" s="1"/>
  <c r="K158" i="6"/>
  <c r="I7" i="10" s="1"/>
  <c r="I43" i="10" s="1"/>
  <c r="F31" i="3"/>
  <c r="D34" i="10" s="1"/>
  <c r="G14" i="3"/>
  <c r="G10" i="3" s="1"/>
  <c r="D38" i="3"/>
  <c r="H31" i="3"/>
  <c r="F34" i="10" s="1"/>
  <c r="M33" i="3"/>
  <c r="M32" i="3" s="1"/>
  <c r="I748" i="2"/>
  <c r="L748" i="2"/>
  <c r="L749" i="2" s="1"/>
  <c r="L750" i="2" s="1"/>
  <c r="U144" i="4"/>
  <c r="U146" i="4" s="1"/>
  <c r="J87" i="13"/>
  <c r="J86" i="13" s="1"/>
  <c r="G65" i="1"/>
  <c r="G64" i="1" s="1"/>
  <c r="G63" i="1" s="1"/>
  <c r="G85" i="1" s="1"/>
  <c r="G106" i="1" s="1"/>
  <c r="I87" i="13"/>
  <c r="I86" i="13" s="1"/>
  <c r="J114" i="6"/>
  <c r="J10" i="6" s="1"/>
  <c r="I14" i="3"/>
  <c r="I10" i="3" s="1"/>
  <c r="M15" i="3"/>
  <c r="M14" i="3" s="1"/>
  <c r="F29" i="1"/>
  <c r="F128" i="1" s="1"/>
  <c r="E272" i="3"/>
  <c r="L273" i="3"/>
  <c r="L274" i="3" s="1"/>
  <c r="I98" i="1"/>
  <c r="I92" i="1" s="1"/>
  <c r="H35" i="10"/>
  <c r="J271" i="3"/>
  <c r="D272" i="3"/>
  <c r="F61" i="3"/>
  <c r="F271" i="3" s="1"/>
  <c r="F273" i="3" s="1"/>
  <c r="F274" i="3" s="1"/>
  <c r="F35" i="10"/>
  <c r="H271" i="3"/>
  <c r="F12" i="3"/>
  <c r="F11" i="3" s="1"/>
  <c r="F10" i="3" s="1"/>
  <c r="M39" i="3"/>
  <c r="M38" i="3" s="1"/>
  <c r="K272" i="3"/>
  <c r="D155" i="3"/>
  <c r="D151" i="3" s="1"/>
  <c r="I44" i="3"/>
  <c r="G44" i="3"/>
  <c r="D77" i="3"/>
  <c r="D76" i="3" s="1"/>
  <c r="D73" i="3" s="1"/>
  <c r="D70" i="3"/>
  <c r="C124" i="1"/>
  <c r="C186" i="1" s="1"/>
  <c r="J24" i="6"/>
  <c r="J20" i="6" s="1"/>
  <c r="J170" i="6"/>
  <c r="H167" i="6"/>
  <c r="H288" i="6" s="1"/>
  <c r="I51" i="1"/>
  <c r="I46" i="1"/>
  <c r="L24" i="6"/>
  <c r="L20" i="6" s="1"/>
  <c r="E59" i="1"/>
  <c r="K8" i="3"/>
  <c r="L8" i="3"/>
  <c r="L7" i="3" s="1"/>
  <c r="D16" i="3"/>
  <c r="D14" i="3" s="1"/>
  <c r="L10" i="3"/>
  <c r="J10" i="3"/>
  <c r="J8" i="3"/>
  <c r="J7" i="3" s="1"/>
  <c r="D256" i="2"/>
  <c r="D251" i="2" s="1"/>
  <c r="O258" i="2"/>
  <c r="D153" i="9"/>
  <c r="J139" i="6"/>
  <c r="M263" i="6"/>
  <c r="M262" i="6" s="1"/>
  <c r="M261" i="6" s="1"/>
  <c r="F262" i="6"/>
  <c r="F261" i="6" s="1"/>
  <c r="E147" i="1"/>
  <c r="E209" i="1" s="1"/>
  <c r="D220" i="3"/>
  <c r="D217" i="3" s="1"/>
  <c r="D309" i="6" s="1"/>
  <c r="M12" i="3"/>
  <c r="M11" i="3" s="1"/>
  <c r="G31" i="3"/>
  <c r="G8" i="3" s="1"/>
  <c r="D64" i="3"/>
  <c r="D61" i="3" s="1"/>
  <c r="I31" i="3"/>
  <c r="I8" i="3" s="1"/>
  <c r="H10" i="3"/>
  <c r="F310" i="6"/>
  <c r="F321" i="6" s="1"/>
  <c r="H114" i="6"/>
  <c r="H10" i="6" s="1"/>
  <c r="E10" i="8"/>
  <c r="E8" i="8" s="1"/>
  <c r="N70" i="1"/>
  <c r="O577" i="2"/>
  <c r="D217" i="2"/>
  <c r="D105" i="2"/>
  <c r="B45" i="1"/>
  <c r="K43" i="2"/>
  <c r="D178" i="2"/>
  <c r="D177" i="2" s="1"/>
  <c r="E178" i="2"/>
  <c r="E177" i="2" s="1"/>
  <c r="G29" i="1"/>
  <c r="G128" i="1" s="1"/>
  <c r="G189" i="1" s="1"/>
  <c r="J18" i="2"/>
  <c r="D670" i="2"/>
  <c r="D669" i="2" s="1"/>
  <c r="D596" i="2" s="1"/>
  <c r="B21" i="1"/>
  <c r="E146" i="2"/>
  <c r="E546" i="2"/>
  <c r="D295" i="2"/>
  <c r="D291" i="2" s="1"/>
  <c r="D498" i="2"/>
  <c r="B102" i="1"/>
  <c r="J102" i="1" s="1"/>
  <c r="D460" i="2"/>
  <c r="E536" i="2"/>
  <c r="E551" i="2"/>
  <c r="D169" i="2"/>
  <c r="D168" i="2" s="1"/>
  <c r="E169" i="2"/>
  <c r="E168" i="2" s="1"/>
  <c r="D39" i="2"/>
  <c r="B24" i="1"/>
  <c r="J24" i="1" s="1"/>
  <c r="D448" i="2"/>
  <c r="D447" i="2" s="1"/>
  <c r="E99" i="2"/>
  <c r="O534" i="2"/>
  <c r="D579" i="2"/>
  <c r="D578" i="2" s="1"/>
  <c r="D577" i="2" s="1"/>
  <c r="D587" i="2"/>
  <c r="D586" i="2" s="1"/>
  <c r="F33" i="1"/>
  <c r="N67" i="1"/>
  <c r="I11" i="2"/>
  <c r="F595" i="2"/>
  <c r="D59" i="1"/>
  <c r="K60" i="1"/>
  <c r="D469" i="2"/>
  <c r="D468" i="2" s="1"/>
  <c r="E186" i="2"/>
  <c r="E183" i="2" s="1"/>
  <c r="I106" i="1"/>
  <c r="F10" i="2"/>
  <c r="K22" i="2"/>
  <c r="D189" i="2"/>
  <c r="L40" i="10"/>
  <c r="D112" i="2"/>
  <c r="D231" i="2"/>
  <c r="D496" i="2"/>
  <c r="D478" i="2"/>
  <c r="D477" i="2" s="1"/>
  <c r="M42" i="2"/>
  <c r="M41" i="2" s="1"/>
  <c r="M35" i="2" s="1"/>
  <c r="F41" i="2"/>
  <c r="F35" i="2" s="1"/>
  <c r="F20" i="2"/>
  <c r="C31" i="1" s="1"/>
  <c r="D149" i="2"/>
  <c r="E149" i="2"/>
  <c r="D42" i="2"/>
  <c r="F19" i="2"/>
  <c r="M430" i="2"/>
  <c r="M429" i="2" s="1"/>
  <c r="F429" i="2"/>
  <c r="B28" i="1"/>
  <c r="E539" i="2"/>
  <c r="D129" i="1"/>
  <c r="D190" i="1" s="1"/>
  <c r="K24" i="1"/>
  <c r="K129" i="1" s="1"/>
  <c r="F510" i="2"/>
  <c r="M511" i="2"/>
  <c r="M510" i="2" s="1"/>
  <c r="M504" i="2" s="1"/>
  <c r="E101" i="1"/>
  <c r="L43" i="2"/>
  <c r="D541" i="2"/>
  <c r="D21" i="2" s="1"/>
  <c r="D555" i="2"/>
  <c r="B29" i="1"/>
  <c r="C131" i="1"/>
  <c r="C193" i="1" s="1"/>
  <c r="K28" i="1"/>
  <c r="K131" i="1" s="1"/>
  <c r="H100" i="1"/>
  <c r="I100" i="1"/>
  <c r="L12" i="2"/>
  <c r="J29" i="2"/>
  <c r="G51" i="1"/>
  <c r="G46" i="1"/>
  <c r="F23" i="2"/>
  <c r="F22" i="2" s="1"/>
  <c r="G139" i="1"/>
  <c r="G201" i="1" s="1"/>
  <c r="J23" i="2"/>
  <c r="M16" i="2"/>
  <c r="D26" i="2"/>
  <c r="B77" i="1"/>
  <c r="F14" i="4"/>
  <c r="F13" i="4" s="1"/>
  <c r="M118" i="4"/>
  <c r="M117" i="4" s="1"/>
  <c r="D63" i="4"/>
  <c r="D25" i="4"/>
  <c r="D24" i="4" s="1"/>
  <c r="D23" i="4" s="1"/>
  <c r="D62" i="4"/>
  <c r="D12" i="4"/>
  <c r="B69" i="1"/>
  <c r="M69" i="1" s="1"/>
  <c r="B68" i="1"/>
  <c r="J68" i="1" s="1"/>
  <c r="J191" i="1"/>
  <c r="D15" i="4"/>
  <c r="F51" i="3"/>
  <c r="D283" i="9"/>
  <c r="I26" i="10"/>
  <c r="F26" i="10"/>
  <c r="D284" i="9"/>
  <c r="K310" i="6"/>
  <c r="K321" i="6" s="1"/>
  <c r="I310" i="6"/>
  <c r="I321" i="6" s="1"/>
  <c r="E306" i="6"/>
  <c r="G9" i="6"/>
  <c r="O15" i="6" s="1"/>
  <c r="C137" i="1"/>
  <c r="G137" i="1"/>
  <c r="D137" i="1"/>
  <c r="H137" i="1"/>
  <c r="M427" i="2"/>
  <c r="M426" i="2" s="1"/>
  <c r="M425" i="2" s="1"/>
  <c r="F426" i="2"/>
  <c r="F13" i="2"/>
  <c r="C18" i="1" s="1"/>
  <c r="H426" i="2"/>
  <c r="H425" i="2" s="1"/>
  <c r="H13" i="2"/>
  <c r="E18" i="1" s="1"/>
  <c r="H17" i="1"/>
  <c r="G426" i="2"/>
  <c r="G425" i="2" s="1"/>
  <c r="G13" i="2"/>
  <c r="D18" i="1" s="1"/>
  <c r="J12" i="2"/>
  <c r="H504" i="2"/>
  <c r="G504" i="2"/>
  <c r="I124" i="1"/>
  <c r="I17" i="1"/>
  <c r="G7" i="3"/>
  <c r="D128" i="1"/>
  <c r="E199" i="1"/>
  <c r="F199" i="1"/>
  <c r="I199" i="1"/>
  <c r="H13" i="1" l="1"/>
  <c r="M13" i="6"/>
  <c r="L11" i="2"/>
  <c r="M10" i="2"/>
  <c r="O21" i="9"/>
  <c r="M10" i="3"/>
  <c r="F11" i="13"/>
  <c r="K36" i="10"/>
  <c r="K37" i="10"/>
  <c r="M8" i="10"/>
  <c r="L19" i="10"/>
  <c r="K19" i="10"/>
  <c r="L13" i="10"/>
  <c r="E7" i="10"/>
  <c r="M11" i="6"/>
  <c r="I9" i="6"/>
  <c r="H26" i="1"/>
  <c r="O8" i="8"/>
  <c r="M17" i="8"/>
  <c r="M11" i="8" s="1"/>
  <c r="M20" i="2"/>
  <c r="D65" i="1"/>
  <c r="D64" i="1" s="1"/>
  <c r="D63" i="1" s="1"/>
  <c r="D85" i="1" s="1"/>
  <c r="D106" i="1" s="1"/>
  <c r="D19" i="1"/>
  <c r="G12" i="13"/>
  <c r="G11" i="13" s="1"/>
  <c r="F9" i="9"/>
  <c r="C14" i="1" s="1"/>
  <c r="C116" i="1" s="1"/>
  <c r="G9" i="9"/>
  <c r="M9" i="8"/>
  <c r="M8" i="8" s="1"/>
  <c r="D8" i="8"/>
  <c r="D29" i="8"/>
  <c r="D22" i="8" s="1"/>
  <c r="O22" i="8"/>
  <c r="O32" i="8"/>
  <c r="O16" i="8"/>
  <c r="O26" i="8"/>
  <c r="O30" i="8"/>
  <c r="O17" i="8"/>
  <c r="D17" i="8"/>
  <c r="D11" i="8" s="1"/>
  <c r="F9" i="6"/>
  <c r="D20" i="10"/>
  <c r="L38" i="10"/>
  <c r="J10" i="5"/>
  <c r="M11" i="5"/>
  <c r="M10" i="5" s="1"/>
  <c r="K7" i="3"/>
  <c r="H8" i="3"/>
  <c r="H7" i="3" s="1"/>
  <c r="D12" i="3"/>
  <c r="D32" i="3"/>
  <c r="D31" i="3" s="1"/>
  <c r="D23" i="10"/>
  <c r="E13" i="2"/>
  <c r="E12" i="2" s="1"/>
  <c r="E11" i="2" s="1"/>
  <c r="F14" i="1"/>
  <c r="F90" i="1" s="1"/>
  <c r="D215" i="2"/>
  <c r="D37" i="2"/>
  <c r="B146" i="1"/>
  <c r="B208" i="1" s="1"/>
  <c r="J43" i="1"/>
  <c r="J146" i="1" s="1"/>
  <c r="J208" i="1" s="1"/>
  <c r="M28" i="1"/>
  <c r="J28" i="1"/>
  <c r="E35" i="2"/>
  <c r="C7" i="10" s="1"/>
  <c r="M68" i="1"/>
  <c r="E23" i="2"/>
  <c r="E22" i="2" s="1"/>
  <c r="B137" i="1"/>
  <c r="J77" i="1"/>
  <c r="J69" i="1"/>
  <c r="B128" i="1"/>
  <c r="B189" i="1" s="1"/>
  <c r="J21" i="1"/>
  <c r="M21" i="1"/>
  <c r="B127" i="1"/>
  <c r="B188" i="1" s="1"/>
  <c r="J22" i="1"/>
  <c r="M24" i="1"/>
  <c r="J158" i="6"/>
  <c r="M22" i="1"/>
  <c r="D163" i="6"/>
  <c r="M163" i="6"/>
  <c r="E104" i="13"/>
  <c r="E106" i="13" s="1"/>
  <c r="E107" i="13" s="1"/>
  <c r="D10" i="7"/>
  <c r="Q11" i="7" s="1"/>
  <c r="D214" i="2"/>
  <c r="D307" i="6"/>
  <c r="M307" i="6" s="1"/>
  <c r="D17" i="7"/>
  <c r="D16" i="7" s="1"/>
  <c r="L103" i="1"/>
  <c r="P19" i="7"/>
  <c r="J82" i="1"/>
  <c r="B82" i="1"/>
  <c r="P16" i="7"/>
  <c r="P11" i="7"/>
  <c r="G31" i="1"/>
  <c r="G132" i="1" s="1"/>
  <c r="G194" i="1" s="1"/>
  <c r="J11" i="2"/>
  <c r="H33" i="1"/>
  <c r="J22" i="2"/>
  <c r="K59" i="1"/>
  <c r="D600" i="2"/>
  <c r="B38" i="1"/>
  <c r="J38" i="1" s="1"/>
  <c r="D31" i="1"/>
  <c r="D132" i="1" s="1"/>
  <c r="D194" i="1" s="1"/>
  <c r="G18" i="6"/>
  <c r="G12" i="6" s="1"/>
  <c r="D26" i="1"/>
  <c r="D606" i="2"/>
  <c r="D605" i="2" s="1"/>
  <c r="D604" i="2" s="1"/>
  <c r="G13" i="1"/>
  <c r="E100" i="1"/>
  <c r="F425" i="2"/>
  <c r="D7" i="10"/>
  <c r="H285" i="9"/>
  <c r="H286" i="9" s="1"/>
  <c r="D285" i="9"/>
  <c r="D286" i="9" s="1"/>
  <c r="G285" i="9"/>
  <c r="G286" i="9" s="1"/>
  <c r="G263" i="9" s="1"/>
  <c r="G262" i="9" s="1"/>
  <c r="G261" i="9" s="1"/>
  <c r="J310" i="6"/>
  <c r="J321" i="6" s="1"/>
  <c r="J11" i="6"/>
  <c r="G14" i="1" s="1"/>
  <c r="L10" i="6"/>
  <c r="L310" i="6"/>
  <c r="L321" i="6" s="1"/>
  <c r="F285" i="9"/>
  <c r="F286" i="9" s="1"/>
  <c r="F263" i="9" s="1"/>
  <c r="D14" i="1"/>
  <c r="D100" i="9"/>
  <c r="D99" i="9" s="1"/>
  <c r="D9" i="9" s="1"/>
  <c r="H7" i="9"/>
  <c r="E14" i="1"/>
  <c r="E90" i="1" s="1"/>
  <c r="E262" i="9"/>
  <c r="E261" i="9" s="1"/>
  <c r="D119" i="2"/>
  <c r="D118" i="2" s="1"/>
  <c r="D46" i="2"/>
  <c r="O39" i="2" s="1"/>
  <c r="E28" i="10"/>
  <c r="F28" i="10"/>
  <c r="D539" i="2"/>
  <c r="D430" i="2"/>
  <c r="D31" i="2"/>
  <c r="G29" i="2"/>
  <c r="G22" i="2" s="1"/>
  <c r="G748" i="2" s="1"/>
  <c r="G749" i="2" s="1"/>
  <c r="G750" i="2" s="1"/>
  <c r="D45" i="1"/>
  <c r="D145" i="1" s="1"/>
  <c r="D207" i="1" s="1"/>
  <c r="E32" i="10"/>
  <c r="G9" i="2"/>
  <c r="F32" i="10"/>
  <c r="H9" i="2"/>
  <c r="F504" i="2"/>
  <c r="D427" i="2"/>
  <c r="D495" i="2"/>
  <c r="B61" i="1"/>
  <c r="M61" i="1" s="1"/>
  <c r="E45" i="1"/>
  <c r="H29" i="2"/>
  <c r="H22" i="2" s="1"/>
  <c r="H748" i="2" s="1"/>
  <c r="H749" i="2" s="1"/>
  <c r="H750" i="2" s="1"/>
  <c r="E98" i="2"/>
  <c r="D99" i="2"/>
  <c r="D98" i="2" s="1"/>
  <c r="D624" i="2"/>
  <c r="D623" i="2" s="1"/>
  <c r="H90" i="1"/>
  <c r="O23" i="13"/>
  <c r="O62" i="13"/>
  <c r="E34" i="10"/>
  <c r="E25" i="10" s="1"/>
  <c r="O214" i="6"/>
  <c r="I162" i="6"/>
  <c r="I19" i="6"/>
  <c r="M19" i="6" s="1"/>
  <c r="M18" i="6" s="1"/>
  <c r="M12" i="6" s="1"/>
  <c r="J73" i="1"/>
  <c r="N73" i="1" s="1"/>
  <c r="N74" i="1"/>
  <c r="E106" i="1"/>
  <c r="I9" i="13"/>
  <c r="I8" i="13" s="1"/>
  <c r="F9" i="13"/>
  <c r="G9" i="13"/>
  <c r="G8" i="13" s="1"/>
  <c r="H54" i="13"/>
  <c r="F30" i="10" s="1"/>
  <c r="K30" i="10" s="1"/>
  <c r="M11" i="13"/>
  <c r="D55" i="13"/>
  <c r="D54" i="13" s="1"/>
  <c r="O56" i="13"/>
  <c r="H12" i="13"/>
  <c r="H11" i="13" s="1"/>
  <c r="D228" i="6"/>
  <c r="D225" i="6" s="1"/>
  <c r="G225" i="6"/>
  <c r="M10" i="6"/>
  <c r="M9" i="6" s="1"/>
  <c r="G25" i="6"/>
  <c r="G170" i="6"/>
  <c r="D317" i="6"/>
  <c r="M317" i="6" s="1"/>
  <c r="M315" i="6"/>
  <c r="D274" i="6"/>
  <c r="D273" i="6" s="1"/>
  <c r="D259" i="6" s="1"/>
  <c r="D258" i="6" s="1"/>
  <c r="D263" i="6"/>
  <c r="D262" i="6" s="1"/>
  <c r="D261" i="6" s="1"/>
  <c r="C25" i="1"/>
  <c r="F13" i="6"/>
  <c r="F12" i="6" s="1"/>
  <c r="E550" i="2"/>
  <c r="E542" i="2"/>
  <c r="F7" i="10"/>
  <c r="L167" i="6"/>
  <c r="L288" i="6" s="1"/>
  <c r="I31" i="1"/>
  <c r="L18" i="6"/>
  <c r="L12" i="6" s="1"/>
  <c r="E31" i="1"/>
  <c r="H18" i="6"/>
  <c r="H12" i="6" s="1"/>
  <c r="D162" i="6"/>
  <c r="D158" i="6" s="1"/>
  <c r="D19" i="6"/>
  <c r="L158" i="6"/>
  <c r="D78" i="6"/>
  <c r="D77" i="6" s="1"/>
  <c r="D287" i="6" s="1"/>
  <c r="G33" i="1"/>
  <c r="F167" i="6"/>
  <c r="K167" i="6"/>
  <c r="K288" i="6" s="1"/>
  <c r="F46" i="1"/>
  <c r="I24" i="6"/>
  <c r="I20" i="6" s="1"/>
  <c r="F51" i="1"/>
  <c r="D168" i="6"/>
  <c r="D23" i="6"/>
  <c r="D21" i="6" s="1"/>
  <c r="C51" i="1"/>
  <c r="C46" i="1"/>
  <c r="F24" i="6"/>
  <c r="F20" i="6" s="1"/>
  <c r="K24" i="6"/>
  <c r="K20" i="6" s="1"/>
  <c r="H46" i="1"/>
  <c r="H51" i="1"/>
  <c r="I167" i="6"/>
  <c r="I288" i="6" s="1"/>
  <c r="M31" i="3"/>
  <c r="M8" i="3" s="1"/>
  <c r="M7" i="3" s="1"/>
  <c r="H26" i="10"/>
  <c r="J748" i="2"/>
  <c r="J749" i="2" s="1"/>
  <c r="J750" i="2" s="1"/>
  <c r="K748" i="2"/>
  <c r="K749" i="2" s="1"/>
  <c r="K750" i="2" s="1"/>
  <c r="I749" i="2"/>
  <c r="I750" i="2" s="1"/>
  <c r="F8" i="10"/>
  <c r="F44" i="10" s="1"/>
  <c r="H7" i="10"/>
  <c r="H43" i="10" s="1"/>
  <c r="D320" i="6"/>
  <c r="D271" i="3"/>
  <c r="D68" i="3"/>
  <c r="D67" i="3" s="1"/>
  <c r="D13" i="3"/>
  <c r="D11" i="3" s="1"/>
  <c r="D10" i="3" s="1"/>
  <c r="K273" i="3"/>
  <c r="K274" i="3" s="1"/>
  <c r="H273" i="3"/>
  <c r="H274" i="3" s="1"/>
  <c r="E98" i="1"/>
  <c r="E92" i="1" s="1"/>
  <c r="J273" i="3"/>
  <c r="J274" i="3" s="1"/>
  <c r="G98" i="1"/>
  <c r="G92" i="1" s="1"/>
  <c r="D8" i="10"/>
  <c r="D44" i="10" s="1"/>
  <c r="E35" i="10"/>
  <c r="G271" i="3"/>
  <c r="G35" i="10"/>
  <c r="G26" i="10" s="1"/>
  <c r="I271" i="3"/>
  <c r="C98" i="1"/>
  <c r="I147" i="1"/>
  <c r="I41" i="1"/>
  <c r="I52" i="1"/>
  <c r="J167" i="6"/>
  <c r="J288" i="6" s="1"/>
  <c r="D25" i="6"/>
  <c r="F8" i="3"/>
  <c r="D22" i="3"/>
  <c r="O22" i="3" s="1"/>
  <c r="D14" i="6"/>
  <c r="J143" i="1"/>
  <c r="J205" i="1" s="1"/>
  <c r="E271" i="3"/>
  <c r="G34" i="10"/>
  <c r="G25" i="10" s="1"/>
  <c r="F17" i="1"/>
  <c r="H9" i="6"/>
  <c r="H310" i="6"/>
  <c r="H321" i="6" s="1"/>
  <c r="B60" i="1"/>
  <c r="M60" i="1" s="1"/>
  <c r="D551" i="2"/>
  <c r="D550" i="2" s="1"/>
  <c r="D536" i="2"/>
  <c r="D535" i="2" s="1"/>
  <c r="D534" i="2" s="1"/>
  <c r="D678" i="2"/>
  <c r="D677" i="2" s="1"/>
  <c r="B145" i="1"/>
  <c r="B207" i="1" s="1"/>
  <c r="E535" i="2"/>
  <c r="B80" i="1"/>
  <c r="D38" i="2"/>
  <c r="D15" i="2" s="1"/>
  <c r="D146" i="2"/>
  <c r="D145" i="2" s="1"/>
  <c r="B129" i="1"/>
  <c r="B190" i="1" s="1"/>
  <c r="D17" i="2"/>
  <c r="D186" i="2"/>
  <c r="D183" i="2" s="1"/>
  <c r="O22" i="2" s="1"/>
  <c r="D51" i="2"/>
  <c r="O42" i="2" s="1"/>
  <c r="D648" i="2"/>
  <c r="D647" i="2" s="1"/>
  <c r="B37" i="1"/>
  <c r="J37" i="1" s="1"/>
  <c r="J33" i="1" s="1"/>
  <c r="E139" i="1"/>
  <c r="E33" i="1"/>
  <c r="D391" i="2"/>
  <c r="D387" i="2" s="1"/>
  <c r="E145" i="2"/>
  <c r="C132" i="1"/>
  <c r="C194" i="1" s="1"/>
  <c r="D510" i="2"/>
  <c r="D504" i="2" s="1"/>
  <c r="D9" i="2" s="1"/>
  <c r="O517" i="2"/>
  <c r="B131" i="1"/>
  <c r="B193" i="1" s="1"/>
  <c r="D457" i="2"/>
  <c r="D456" i="2" s="1"/>
  <c r="M19" i="2"/>
  <c r="F18" i="2"/>
  <c r="C29" i="1"/>
  <c r="M29" i="1" s="1"/>
  <c r="B51" i="1"/>
  <c r="B46" i="1"/>
  <c r="G147" i="1"/>
  <c r="G209" i="1" s="1"/>
  <c r="G41" i="1"/>
  <c r="G52" i="1"/>
  <c r="C127" i="1"/>
  <c r="C188" i="1" s="1"/>
  <c r="K22" i="1"/>
  <c r="K127" i="1" s="1"/>
  <c r="O26" i="2"/>
  <c r="D20" i="4"/>
  <c r="D55" i="4"/>
  <c r="D54" i="4" s="1"/>
  <c r="B123" i="1"/>
  <c r="B185" i="1" s="1"/>
  <c r="B126" i="1"/>
  <c r="B187" i="1" s="1"/>
  <c r="D11" i="4"/>
  <c r="L77" i="1"/>
  <c r="L36" i="10"/>
  <c r="D140" i="6"/>
  <c r="D139" i="6" s="1"/>
  <c r="D11" i="6" s="1"/>
  <c r="D17" i="6"/>
  <c r="B25" i="1"/>
  <c r="K9" i="6"/>
  <c r="E310" i="6"/>
  <c r="E321" i="6" s="1"/>
  <c r="D125" i="6"/>
  <c r="B31" i="1"/>
  <c r="I90" i="1"/>
  <c r="C199" i="1"/>
  <c r="D199" i="1"/>
  <c r="H199" i="1"/>
  <c r="B199" i="1"/>
  <c r="G199" i="1"/>
  <c r="H8" i="2"/>
  <c r="G122" i="1"/>
  <c r="G17" i="1"/>
  <c r="H184" i="1"/>
  <c r="H195" i="1" s="1"/>
  <c r="H133" i="1"/>
  <c r="F424" i="2"/>
  <c r="G12" i="2"/>
  <c r="G11" i="2" s="1"/>
  <c r="H16" i="1"/>
  <c r="H48" i="1" s="1"/>
  <c r="H12" i="2"/>
  <c r="H11" i="2" s="1"/>
  <c r="M13" i="2"/>
  <c r="M12" i="2" s="1"/>
  <c r="F12" i="2"/>
  <c r="I186" i="1"/>
  <c r="G89" i="1"/>
  <c r="E189" i="1"/>
  <c r="F189" i="1"/>
  <c r="D189" i="1"/>
  <c r="M18" i="2" l="1"/>
  <c r="G26" i="1"/>
  <c r="E43" i="10"/>
  <c r="E26" i="10"/>
  <c r="K26" i="10" s="1"/>
  <c r="K35" i="10"/>
  <c r="M7" i="10"/>
  <c r="L23" i="10"/>
  <c r="K23" i="10"/>
  <c r="K34" i="10"/>
  <c r="D220" i="8"/>
  <c r="F13" i="1"/>
  <c r="J19" i="1"/>
  <c r="D124" i="1"/>
  <c r="D186" i="1" s="1"/>
  <c r="K19" i="1"/>
  <c r="M19" i="1"/>
  <c r="D8" i="3"/>
  <c r="D7" i="3" s="1"/>
  <c r="O17" i="3" s="1"/>
  <c r="D13" i="2"/>
  <c r="M25" i="1"/>
  <c r="J25" i="1"/>
  <c r="J29" i="1"/>
  <c r="B76" i="1"/>
  <c r="B75" i="1" s="1"/>
  <c r="B86" i="1" s="1"/>
  <c r="J80" i="1"/>
  <c r="J45" i="1"/>
  <c r="J145" i="1" s="1"/>
  <c r="J207" i="1" s="1"/>
  <c r="C90" i="1"/>
  <c r="B65" i="1"/>
  <c r="D9" i="13"/>
  <c r="D8" i="13" s="1"/>
  <c r="L102" i="1"/>
  <c r="L101" i="1" s="1"/>
  <c r="B139" i="1"/>
  <c r="B201" i="1" s="1"/>
  <c r="F288" i="6"/>
  <c r="F289" i="6" s="1"/>
  <c r="F290" i="6" s="1"/>
  <c r="F7" i="3"/>
  <c r="D11" i="9"/>
  <c r="D10" i="9" s="1"/>
  <c r="O435" i="2"/>
  <c r="D434" i="2"/>
  <c r="C112" i="1"/>
  <c r="G210" i="1"/>
  <c r="I13" i="1"/>
  <c r="I89" i="1" s="1"/>
  <c r="I88" i="1" s="1"/>
  <c r="L9" i="6"/>
  <c r="F262" i="9"/>
  <c r="C76" i="1"/>
  <c r="C75" i="1" s="1"/>
  <c r="C86" i="1" s="1"/>
  <c r="J86" i="1" s="1"/>
  <c r="C139" i="1"/>
  <c r="C201" i="1" s="1"/>
  <c r="L79" i="1"/>
  <c r="D7" i="9"/>
  <c r="E9" i="9"/>
  <c r="D116" i="1"/>
  <c r="D112" i="1"/>
  <c r="D90" i="1"/>
  <c r="D13" i="1"/>
  <c r="M8" i="9"/>
  <c r="G7" i="9"/>
  <c r="F7" i="9"/>
  <c r="M9" i="9"/>
  <c r="D76" i="1"/>
  <c r="D75" i="1" s="1"/>
  <c r="D86" i="1" s="1"/>
  <c r="D100" i="1" s="1"/>
  <c r="D139" i="1"/>
  <c r="D201" i="1" s="1"/>
  <c r="D27" i="2"/>
  <c r="D23" i="2" s="1"/>
  <c r="D44" i="2"/>
  <c r="E145" i="1"/>
  <c r="E207" i="1" s="1"/>
  <c r="E41" i="1"/>
  <c r="D32" i="10"/>
  <c r="K32" i="10" s="1"/>
  <c r="F9" i="2"/>
  <c r="C13" i="1" s="1"/>
  <c r="D28" i="10"/>
  <c r="E32" i="1"/>
  <c r="E49" i="1" s="1"/>
  <c r="D597" i="2"/>
  <c r="J61" i="1" s="1"/>
  <c r="N61" i="1" s="1"/>
  <c r="B59" i="1"/>
  <c r="M59" i="1" s="1"/>
  <c r="D10" i="2"/>
  <c r="J14" i="1" s="1"/>
  <c r="I18" i="6"/>
  <c r="I12" i="6" s="1"/>
  <c r="F31" i="1"/>
  <c r="J31" i="1" s="1"/>
  <c r="I158" i="6"/>
  <c r="D12" i="13"/>
  <c r="D11" i="13" s="1"/>
  <c r="H9" i="13"/>
  <c r="M9" i="13" s="1"/>
  <c r="M8" i="13" s="1"/>
  <c r="F8" i="13"/>
  <c r="E124" i="1"/>
  <c r="E186" i="1" s="1"/>
  <c r="K124" i="1"/>
  <c r="F11" i="2"/>
  <c r="D306" i="6"/>
  <c r="M306" i="6" s="1"/>
  <c r="O9" i="6"/>
  <c r="G24" i="6"/>
  <c r="G20" i="6" s="1"/>
  <c r="D51" i="1"/>
  <c r="J51" i="1" s="1"/>
  <c r="D46" i="1"/>
  <c r="J46" i="1" s="1"/>
  <c r="G167" i="6"/>
  <c r="G288" i="6" s="1"/>
  <c r="B13" i="1"/>
  <c r="J8" i="10"/>
  <c r="J44" i="10" s="1"/>
  <c r="J7" i="10"/>
  <c r="I132" i="1"/>
  <c r="I26" i="1"/>
  <c r="I16" i="1" s="1"/>
  <c r="I48" i="1" s="1"/>
  <c r="I121" i="1" s="1"/>
  <c r="E132" i="1"/>
  <c r="E194" i="1" s="1"/>
  <c r="E26" i="1"/>
  <c r="O25" i="6"/>
  <c r="H147" i="1"/>
  <c r="H52" i="1"/>
  <c r="H41" i="1"/>
  <c r="C147" i="1"/>
  <c r="C41" i="1"/>
  <c r="C32" i="1" s="1"/>
  <c r="C52" i="1"/>
  <c r="I8" i="10"/>
  <c r="I44" i="10" s="1"/>
  <c r="G8" i="10"/>
  <c r="G44" i="10" s="1"/>
  <c r="F52" i="1"/>
  <c r="F147" i="1"/>
  <c r="F41" i="1"/>
  <c r="F32" i="1" s="1"/>
  <c r="F49" i="1" s="1"/>
  <c r="F91" i="1" s="1"/>
  <c r="E748" i="2"/>
  <c r="F748" i="2"/>
  <c r="M102" i="1"/>
  <c r="H8" i="10"/>
  <c r="H44" i="10" s="1"/>
  <c r="H289" i="6"/>
  <c r="H290" i="6" s="1"/>
  <c r="E99" i="1"/>
  <c r="E273" i="3"/>
  <c r="E274" i="3" s="1"/>
  <c r="B98" i="1"/>
  <c r="D273" i="3"/>
  <c r="L98" i="1"/>
  <c r="M320" i="6"/>
  <c r="F98" i="1"/>
  <c r="I273" i="3"/>
  <c r="I274" i="3" s="1"/>
  <c r="D98" i="1"/>
  <c r="G273" i="3"/>
  <c r="G274" i="3" s="1"/>
  <c r="M309" i="6"/>
  <c r="C92" i="1"/>
  <c r="D170" i="6"/>
  <c r="D167" i="6" s="1"/>
  <c r="D24" i="6"/>
  <c r="D20" i="6" s="1"/>
  <c r="I32" i="1"/>
  <c r="E288" i="6"/>
  <c r="B99" i="1" s="1"/>
  <c r="I209" i="1"/>
  <c r="I210" i="1" s="1"/>
  <c r="I148" i="1"/>
  <c r="D20" i="3"/>
  <c r="D17" i="3" s="1"/>
  <c r="J9" i="6"/>
  <c r="D115" i="6"/>
  <c r="D114" i="6" s="1"/>
  <c r="D10" i="6" s="1"/>
  <c r="D302" i="6"/>
  <c r="D13" i="6"/>
  <c r="I7" i="3"/>
  <c r="L34" i="10"/>
  <c r="G148" i="1"/>
  <c r="D599" i="2"/>
  <c r="D598" i="2" s="1"/>
  <c r="N21" i="1"/>
  <c r="B140" i="1"/>
  <c r="B202" i="1" s="1"/>
  <c r="J140" i="1"/>
  <c r="J202" i="1" s="1"/>
  <c r="E534" i="2"/>
  <c r="O38" i="2"/>
  <c r="O25" i="2"/>
  <c r="D36" i="2"/>
  <c r="N24" i="1"/>
  <c r="J129" i="1"/>
  <c r="J190" i="1" s="1"/>
  <c r="L39" i="1"/>
  <c r="E201" i="1"/>
  <c r="B138" i="1"/>
  <c r="B200" i="1" s="1"/>
  <c r="B33" i="1"/>
  <c r="D32" i="2"/>
  <c r="D29" i="2" s="1"/>
  <c r="D49" i="2"/>
  <c r="D20" i="2"/>
  <c r="D41" i="2"/>
  <c r="M11" i="2"/>
  <c r="K29" i="1"/>
  <c r="C26" i="1"/>
  <c r="C128" i="1"/>
  <c r="C189" i="1" s="1"/>
  <c r="D426" i="2"/>
  <c r="E10" i="2"/>
  <c r="D19" i="2"/>
  <c r="O29" i="2" s="1"/>
  <c r="D429" i="2"/>
  <c r="B18" i="1"/>
  <c r="J131" i="1"/>
  <c r="J193" i="1" s="1"/>
  <c r="N28" i="1"/>
  <c r="L43" i="1"/>
  <c r="B52" i="1"/>
  <c r="B147" i="1"/>
  <c r="B41" i="1"/>
  <c r="J139" i="1"/>
  <c r="J201" i="1" s="1"/>
  <c r="G32" i="1"/>
  <c r="J127" i="1"/>
  <c r="J188" i="1" s="1"/>
  <c r="L38" i="1"/>
  <c r="N22" i="1"/>
  <c r="J76" i="1"/>
  <c r="J75" i="1" s="1"/>
  <c r="J137" i="1"/>
  <c r="M103" i="1"/>
  <c r="B101" i="1"/>
  <c r="B100" i="1" s="1"/>
  <c r="J60" i="1"/>
  <c r="D10" i="4"/>
  <c r="N69" i="1"/>
  <c r="L78" i="1"/>
  <c r="J126" i="1"/>
  <c r="J187" i="1" s="1"/>
  <c r="N68" i="1"/>
  <c r="J123" i="1"/>
  <c r="J185" i="1" s="1"/>
  <c r="H12" i="1"/>
  <c r="H107" i="1" s="1"/>
  <c r="H89" i="1"/>
  <c r="H88" i="1" s="1"/>
  <c r="H134" i="1" s="1"/>
  <c r="B132" i="1"/>
  <c r="B26" i="1"/>
  <c r="D18" i="6"/>
  <c r="C43" i="10"/>
  <c r="D298" i="6"/>
  <c r="D300" i="6" s="1"/>
  <c r="C17" i="1"/>
  <c r="K18" i="1"/>
  <c r="H121" i="1"/>
  <c r="I46" i="10"/>
  <c r="I49" i="10" s="1"/>
  <c r="D122" i="1"/>
  <c r="D17" i="1"/>
  <c r="D16" i="1" s="1"/>
  <c r="D48" i="1" s="1"/>
  <c r="E46" i="10" s="1"/>
  <c r="F8" i="2"/>
  <c r="M9" i="2"/>
  <c r="M8" i="2" s="1"/>
  <c r="G8" i="2"/>
  <c r="E17" i="1"/>
  <c r="E122" i="1"/>
  <c r="G133" i="1"/>
  <c r="G184" i="1"/>
  <c r="G195" i="1" s="1"/>
  <c r="G16" i="1" l="1"/>
  <c r="G48" i="1" s="1"/>
  <c r="G121" i="1" s="1"/>
  <c r="D25" i="10"/>
  <c r="K28" i="10"/>
  <c r="D304" i="6"/>
  <c r="E210" i="1"/>
  <c r="J13" i="1"/>
  <c r="E13" i="1"/>
  <c r="M13" i="1" s="1"/>
  <c r="M7" i="9"/>
  <c r="J46" i="10"/>
  <c r="D43" i="2"/>
  <c r="I12" i="1"/>
  <c r="E749" i="2"/>
  <c r="E750" i="2" s="1"/>
  <c r="B93" i="1"/>
  <c r="C100" i="1"/>
  <c r="M18" i="1"/>
  <c r="J18" i="1"/>
  <c r="J17" i="1" s="1"/>
  <c r="J98" i="1"/>
  <c r="J92" i="1" s="1"/>
  <c r="B64" i="1"/>
  <c r="B63" i="1" s="1"/>
  <c r="B85" i="1" s="1"/>
  <c r="B106" i="1" s="1"/>
  <c r="M31" i="1"/>
  <c r="N31" i="1" s="1"/>
  <c r="D12" i="2"/>
  <c r="L28" i="10"/>
  <c r="D22" i="2"/>
  <c r="D748" i="2" s="1"/>
  <c r="D749" i="2" s="1"/>
  <c r="D750" i="2" s="1"/>
  <c r="E148" i="1"/>
  <c r="B92" i="1"/>
  <c r="L46" i="1"/>
  <c r="D288" i="6"/>
  <c r="D289" i="6" s="1"/>
  <c r="D290" i="6" s="1"/>
  <c r="C49" i="1"/>
  <c r="C91" i="1" s="1"/>
  <c r="D8" i="2"/>
  <c r="F261" i="9"/>
  <c r="B14" i="1"/>
  <c r="E7" i="9"/>
  <c r="D595" i="2"/>
  <c r="O27" i="2"/>
  <c r="L32" i="10"/>
  <c r="F135" i="1"/>
  <c r="F212" i="1" s="1"/>
  <c r="G47" i="10"/>
  <c r="G50" i="10" s="1"/>
  <c r="G7" i="10"/>
  <c r="M158" i="6"/>
  <c r="F132" i="1"/>
  <c r="F26" i="1"/>
  <c r="F16" i="1" s="1"/>
  <c r="F48" i="1" s="1"/>
  <c r="G46" i="10" s="1"/>
  <c r="K31" i="1"/>
  <c r="K132" i="1" s="1"/>
  <c r="J124" i="1"/>
  <c r="J186" i="1" s="1"/>
  <c r="N19" i="1"/>
  <c r="L30" i="10"/>
  <c r="H8" i="13"/>
  <c r="F25" i="10"/>
  <c r="E8" i="10"/>
  <c r="D147" i="1"/>
  <c r="D41" i="1"/>
  <c r="D32" i="1" s="1"/>
  <c r="D49" i="1" s="1"/>
  <c r="D52" i="1"/>
  <c r="D35" i="2"/>
  <c r="I99" i="1"/>
  <c r="L289" i="6"/>
  <c r="L290" i="6" s="1"/>
  <c r="I194" i="1"/>
  <c r="I195" i="1" s="1"/>
  <c r="I133" i="1"/>
  <c r="I134" i="1" s="1"/>
  <c r="J43" i="10"/>
  <c r="D12" i="6"/>
  <c r="H32" i="1"/>
  <c r="H49" i="1" s="1"/>
  <c r="H209" i="1"/>
  <c r="H210" i="1" s="1"/>
  <c r="H148" i="1"/>
  <c r="F209" i="1"/>
  <c r="F210" i="1" s="1"/>
  <c r="F148" i="1"/>
  <c r="F149" i="1" s="1"/>
  <c r="I289" i="6"/>
  <c r="I290" i="6" s="1"/>
  <c r="F99" i="1"/>
  <c r="F93" i="1" s="1"/>
  <c r="K289" i="6"/>
  <c r="K290" i="6" s="1"/>
  <c r="H99" i="1"/>
  <c r="C209" i="1"/>
  <c r="C210" i="1" s="1"/>
  <c r="C148" i="1"/>
  <c r="I107" i="1"/>
  <c r="J101" i="1"/>
  <c r="J100" i="1" s="1"/>
  <c r="M101" i="1"/>
  <c r="F749" i="2"/>
  <c r="F750" i="2" s="1"/>
  <c r="C99" i="1"/>
  <c r="J289" i="6"/>
  <c r="J290" i="6" s="1"/>
  <c r="G99" i="1"/>
  <c r="E97" i="1"/>
  <c r="E96" i="1" s="1"/>
  <c r="E93" i="1"/>
  <c r="D92" i="1"/>
  <c r="F92" i="1"/>
  <c r="D274" i="3"/>
  <c r="C16" i="1"/>
  <c r="K13" i="1"/>
  <c r="I49" i="1"/>
  <c r="O31" i="2"/>
  <c r="D18" i="2"/>
  <c r="G90" i="1"/>
  <c r="G88" i="1" s="1"/>
  <c r="G134" i="1" s="1"/>
  <c r="G12" i="1"/>
  <c r="K14" i="1"/>
  <c r="F89" i="1"/>
  <c r="F88" i="1" s="1"/>
  <c r="F12" i="1"/>
  <c r="B32" i="1"/>
  <c r="B49" i="1" s="1"/>
  <c r="B91" i="1" s="1"/>
  <c r="J116" i="1"/>
  <c r="J90" i="1"/>
  <c r="E135" i="1"/>
  <c r="F47" i="10"/>
  <c r="F50" i="10" s="1"/>
  <c r="E91" i="1"/>
  <c r="J138" i="1"/>
  <c r="J200" i="1" s="1"/>
  <c r="L37" i="1"/>
  <c r="E8" i="2"/>
  <c r="B17" i="1"/>
  <c r="B16" i="1" s="1"/>
  <c r="B48" i="1" s="1"/>
  <c r="B122" i="1"/>
  <c r="B184" i="1" s="1"/>
  <c r="D425" i="2"/>
  <c r="N29" i="1"/>
  <c r="J128" i="1"/>
  <c r="J189" i="1" s="1"/>
  <c r="L45" i="1"/>
  <c r="K128" i="1"/>
  <c r="G49" i="1"/>
  <c r="J41" i="1"/>
  <c r="J32" i="1" s="1"/>
  <c r="J49" i="1" s="1"/>
  <c r="J147" i="1"/>
  <c r="J209" i="1" s="1"/>
  <c r="B209" i="1"/>
  <c r="B210" i="1" s="1"/>
  <c r="B148" i="1"/>
  <c r="N25" i="1"/>
  <c r="J59" i="1"/>
  <c r="N59" i="1" s="1"/>
  <c r="N60" i="1"/>
  <c r="J199" i="1"/>
  <c r="D310" i="6"/>
  <c r="M310" i="6" s="1"/>
  <c r="J26" i="1"/>
  <c r="J132" i="1"/>
  <c r="J194" i="1" s="1"/>
  <c r="B194" i="1"/>
  <c r="E16" i="1"/>
  <c r="D111" i="1"/>
  <c r="D115" i="1"/>
  <c r="D114" i="1" s="1"/>
  <c r="D12" i="1"/>
  <c r="D89" i="1"/>
  <c r="D88" i="1" s="1"/>
  <c r="D121" i="1"/>
  <c r="D117" i="1"/>
  <c r="E49" i="10"/>
  <c r="K17" i="1"/>
  <c r="E184" i="1"/>
  <c r="E195" i="1" s="1"/>
  <c r="E133" i="1"/>
  <c r="C115" i="1"/>
  <c r="C114" i="1" s="1"/>
  <c r="C89" i="1"/>
  <c r="C88" i="1" s="1"/>
  <c r="C111" i="1"/>
  <c r="C12" i="1"/>
  <c r="D184" i="1"/>
  <c r="D195" i="1" s="1"/>
  <c r="D133" i="1"/>
  <c r="H183" i="1"/>
  <c r="H196" i="1"/>
  <c r="I196" i="1"/>
  <c r="I183" i="1"/>
  <c r="M98" i="1" l="1"/>
  <c r="H46" i="10"/>
  <c r="H49" i="10" s="1"/>
  <c r="E44" i="10"/>
  <c r="K8" i="10"/>
  <c r="K44" i="10" s="1"/>
  <c r="G43" i="10"/>
  <c r="K7" i="10"/>
  <c r="D43" i="10"/>
  <c r="K25" i="10"/>
  <c r="J49" i="10"/>
  <c r="C119" i="1"/>
  <c r="K47" i="10"/>
  <c r="J91" i="1"/>
  <c r="N18" i="1"/>
  <c r="C149" i="1"/>
  <c r="C135" i="1"/>
  <c r="C197" i="1" s="1"/>
  <c r="B121" i="1"/>
  <c r="B94" i="1"/>
  <c r="M17" i="1"/>
  <c r="C48" i="1"/>
  <c r="D46" i="10" s="1"/>
  <c r="D49" i="10" s="1"/>
  <c r="M16" i="1"/>
  <c r="M14" i="1"/>
  <c r="N14" i="1" s="1"/>
  <c r="M26" i="1"/>
  <c r="N26" i="1" s="1"/>
  <c r="D11" i="2"/>
  <c r="F121" i="1"/>
  <c r="F196" i="1" s="1"/>
  <c r="D47" i="10"/>
  <c r="D50" i="10" s="1"/>
  <c r="F213" i="1"/>
  <c r="F197" i="1"/>
  <c r="K26" i="1"/>
  <c r="K16" i="1" s="1"/>
  <c r="F97" i="1"/>
  <c r="F96" i="1" s="1"/>
  <c r="L7" i="10"/>
  <c r="D118" i="1"/>
  <c r="G49" i="10"/>
  <c r="K12" i="1"/>
  <c r="L46" i="10" s="1"/>
  <c r="F194" i="1"/>
  <c r="F195" i="1" s="1"/>
  <c r="F133" i="1"/>
  <c r="F134" i="1" s="1"/>
  <c r="C44" i="10"/>
  <c r="F43" i="10"/>
  <c r="L25" i="10"/>
  <c r="E12" i="1"/>
  <c r="E89" i="1"/>
  <c r="E88" i="1" s="1"/>
  <c r="E134" i="1" s="1"/>
  <c r="E47" i="10"/>
  <c r="E50" i="10" s="1"/>
  <c r="D119" i="1"/>
  <c r="D135" i="1"/>
  <c r="D91" i="1"/>
  <c r="G289" i="6"/>
  <c r="G290" i="6" s="1"/>
  <c r="D99" i="1"/>
  <c r="J99" i="1" s="1"/>
  <c r="D209" i="1"/>
  <c r="D210" i="1" s="1"/>
  <c r="D148" i="1"/>
  <c r="D149" i="1" s="1"/>
  <c r="J148" i="1"/>
  <c r="F94" i="1"/>
  <c r="I97" i="1"/>
  <c r="I96" i="1" s="1"/>
  <c r="I93" i="1"/>
  <c r="I47" i="10"/>
  <c r="I50" i="10" s="1"/>
  <c r="H135" i="1"/>
  <c r="H91" i="1"/>
  <c r="H149" i="1" s="1"/>
  <c r="H97" i="1"/>
  <c r="H93" i="1"/>
  <c r="H94" i="1" s="1"/>
  <c r="C93" i="1"/>
  <c r="C94" i="1" s="1"/>
  <c r="C97" i="1"/>
  <c r="L99" i="1"/>
  <c r="L97" i="1" s="1"/>
  <c r="E289" i="6"/>
  <c r="E290" i="6" s="1"/>
  <c r="G97" i="1"/>
  <c r="G96" i="1" s="1"/>
  <c r="G93" i="1"/>
  <c r="N17" i="1"/>
  <c r="J47" i="10"/>
  <c r="J50" i="10" s="1"/>
  <c r="I135" i="1"/>
  <c r="I91" i="1"/>
  <c r="B195" i="1"/>
  <c r="G107" i="1"/>
  <c r="K90" i="1"/>
  <c r="L14" i="1"/>
  <c r="B149" i="1"/>
  <c r="D134" i="1"/>
  <c r="F107" i="1"/>
  <c r="B133" i="1"/>
  <c r="C47" i="10"/>
  <c r="B135" i="1"/>
  <c r="E94" i="1"/>
  <c r="E104" i="1"/>
  <c r="E212" i="1"/>
  <c r="E213" i="1" s="1"/>
  <c r="E197" i="1"/>
  <c r="E149" i="1"/>
  <c r="B90" i="1"/>
  <c r="J119" i="1"/>
  <c r="J135" i="1"/>
  <c r="J212" i="1" s="1"/>
  <c r="G135" i="1"/>
  <c r="H47" i="10"/>
  <c r="H50" i="10" s="1"/>
  <c r="G91" i="1"/>
  <c r="J210" i="1"/>
  <c r="J197" i="1"/>
  <c r="B89" i="1"/>
  <c r="B12" i="1"/>
  <c r="D321" i="6"/>
  <c r="M321" i="6" s="1"/>
  <c r="C46" i="10"/>
  <c r="C49" i="10" s="1"/>
  <c r="K194" i="1"/>
  <c r="P194" i="1"/>
  <c r="D9" i="6"/>
  <c r="O19" i="6" s="1"/>
  <c r="L13" i="1"/>
  <c r="K89" i="1"/>
  <c r="D196" i="1"/>
  <c r="D183" i="1"/>
  <c r="D107" i="1"/>
  <c r="C107" i="1"/>
  <c r="J16" i="1"/>
  <c r="J48" i="1" s="1"/>
  <c r="G196" i="1"/>
  <c r="G183" i="1"/>
  <c r="E48" i="1"/>
  <c r="K50" i="10" l="1"/>
  <c r="F183" i="1"/>
  <c r="L43" i="10"/>
  <c r="L49" i="10" s="1"/>
  <c r="C212" i="1"/>
  <c r="C213" i="1" s="1"/>
  <c r="L48" i="1"/>
  <c r="M12" i="1"/>
  <c r="B107" i="1"/>
  <c r="C50" i="10"/>
  <c r="F104" i="1"/>
  <c r="K43" i="10"/>
  <c r="J149" i="1"/>
  <c r="E107" i="1"/>
  <c r="D93" i="1"/>
  <c r="D94" i="1" s="1"/>
  <c r="D97" i="1"/>
  <c r="D197" i="1"/>
  <c r="D212" i="1"/>
  <c r="D213" i="1" s="1"/>
  <c r="K88" i="1"/>
  <c r="H96" i="1"/>
  <c r="H104" i="1"/>
  <c r="H197" i="1"/>
  <c r="H212" i="1"/>
  <c r="H213" i="1" s="1"/>
  <c r="C96" i="1"/>
  <c r="C104" i="1"/>
  <c r="B97" i="1"/>
  <c r="B96" i="1" s="1"/>
  <c r="N16" i="1"/>
  <c r="I212" i="1"/>
  <c r="I213" i="1" s="1"/>
  <c r="I197" i="1"/>
  <c r="I104" i="1"/>
  <c r="I149" i="1"/>
  <c r="I94" i="1"/>
  <c r="B88" i="1"/>
  <c r="B134" i="1" s="1"/>
  <c r="B197" i="1"/>
  <c r="B212" i="1"/>
  <c r="B213" i="1" s="1"/>
  <c r="J213" i="1"/>
  <c r="G104" i="1"/>
  <c r="G94" i="1"/>
  <c r="G149" i="1"/>
  <c r="G197" i="1"/>
  <c r="G212" i="1"/>
  <c r="G213" i="1" s="1"/>
  <c r="J115" i="1"/>
  <c r="J114" i="1" s="1"/>
  <c r="J89" i="1"/>
  <c r="J88" i="1" s="1"/>
  <c r="J12" i="1"/>
  <c r="J107" i="1" s="1"/>
  <c r="N13" i="1"/>
  <c r="B196" i="1"/>
  <c r="B183" i="1"/>
  <c r="F46" i="10"/>
  <c r="F49" i="10" s="1"/>
  <c r="E121" i="1"/>
  <c r="K48" i="1"/>
  <c r="K46" i="10"/>
  <c r="K49" i="10" l="1"/>
  <c r="D96" i="1"/>
  <c r="D104" i="1"/>
  <c r="M99" i="1"/>
  <c r="M97" i="1" s="1"/>
  <c r="J93" i="1"/>
  <c r="J94" i="1" s="1"/>
  <c r="J97" i="1"/>
  <c r="B104" i="1"/>
  <c r="N12" i="1"/>
  <c r="L50" i="1"/>
  <c r="M50" i="1" s="1"/>
  <c r="M48" i="1"/>
  <c r="E196" i="1"/>
  <c r="E183" i="1"/>
  <c r="D14" i="4"/>
  <c r="D13" i="4" s="1"/>
  <c r="J96" i="1" l="1"/>
  <c r="J104" i="1"/>
  <c r="F19" i="13" l="1"/>
  <c r="D19" i="13"/>
  <c r="D18" i="13" s="1"/>
  <c r="L91" i="1" s="1"/>
  <c r="F18" i="13"/>
  <c r="F107" i="13"/>
  <c r="F88" i="13" s="1"/>
  <c r="L92" i="1" l="1"/>
  <c r="L93" i="1"/>
  <c r="O20" i="13"/>
  <c r="F87" i="13"/>
  <c r="F86" i="13" s="1"/>
  <c r="M88" i="13"/>
  <c r="M87" i="13" s="1"/>
  <c r="M86" i="13" s="1"/>
  <c r="C65" i="1"/>
  <c r="D107" i="13"/>
  <c r="D88" i="13" s="1"/>
  <c r="D87" i="13" s="1"/>
  <c r="D86" i="13" s="1"/>
  <c r="J65" i="1" l="1"/>
  <c r="M65" i="1"/>
  <c r="M96" i="1"/>
  <c r="C122" i="1"/>
  <c r="K65" i="1"/>
  <c r="C64" i="1"/>
  <c r="M64" i="1" s="1"/>
  <c r="N65" i="1" l="1"/>
  <c r="J122" i="1"/>
  <c r="J64" i="1"/>
  <c r="C63" i="1"/>
  <c r="M63" i="1" s="1"/>
  <c r="C184" i="1"/>
  <c r="C195" i="1" s="1"/>
  <c r="C133" i="1"/>
  <c r="C134" i="1" s="1"/>
  <c r="K64" i="1"/>
  <c r="K63" i="1" s="1"/>
  <c r="K122" i="1"/>
  <c r="K133" i="1" s="1"/>
  <c r="C85" i="1" l="1"/>
  <c r="J63" i="1"/>
  <c r="N64" i="1"/>
  <c r="J133" i="1"/>
  <c r="J134" i="1" s="1"/>
  <c r="J184" i="1"/>
  <c r="J195" i="1" s="1"/>
  <c r="C106" i="1" l="1"/>
  <c r="J85" i="1"/>
  <c r="N63" i="1"/>
  <c r="C117" i="1"/>
  <c r="C118" i="1" s="1"/>
  <c r="K85" i="1"/>
  <c r="K121" i="1" s="1"/>
  <c r="C121" i="1"/>
  <c r="L85" i="1" l="1"/>
  <c r="J106" i="1"/>
  <c r="J121" i="1"/>
  <c r="J117" i="1"/>
  <c r="J118" i="1" s="1"/>
  <c r="M85" i="1"/>
  <c r="C196" i="1"/>
  <c r="C183" i="1"/>
  <c r="J196" i="1" l="1"/>
  <c r="J183" i="1"/>
</calcChain>
</file>

<file path=xl/comments1.xml><?xml version="1.0" encoding="utf-8"?>
<comments xmlns="http://schemas.openxmlformats.org/spreadsheetml/2006/main">
  <authors>
    <author>Magdalena Zielińska</author>
  </authors>
  <commentList>
    <comment ref="F729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comments2.xml><?xml version="1.0" encoding="utf-8"?>
<comments xmlns="http://schemas.openxmlformats.org/spreadsheetml/2006/main">
  <authors>
    <author>WStachera</author>
  </authors>
  <commentList>
    <comment ref="E11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<sst xmlns="http://schemas.openxmlformats.org/spreadsheetml/2006/main" count="3819" uniqueCount="587">
  <si>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</si>
  <si>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</si>
  <si>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</si>
  <si>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</si>
  <si>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</si>
  <si>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</si>
  <si>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</si>
  <si>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</si>
  <si>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</si>
  <si>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</si>
  <si>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</si>
  <si>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</si>
  <si>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</si>
  <si>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</si>
  <si>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</si>
  <si>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</si>
  <si>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</si>
  <si>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</si>
  <si>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</si>
  <si>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</si>
  <si>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</si>
  <si>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</si>
  <si>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</si>
  <si>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</si>
  <si>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</si>
  <si>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</si>
  <si>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</si>
  <si>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</si>
  <si>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</si>
  <si>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</si>
  <si>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</si>
  <si>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</si>
  <si>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</si>
  <si>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</si>
  <si>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</si>
  <si>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</si>
  <si>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</si>
  <si>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</si>
  <si>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</si>
  <si>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</si>
  <si>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</si>
  <si>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</si>
  <si>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</si>
  <si>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</si>
  <si>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</si>
  <si>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</si>
  <si>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</si>
  <si>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</si>
  <si>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</si>
  <si>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</si>
  <si>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</si>
  <si>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</si>
  <si>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</si>
  <si>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</si>
  <si>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</si>
  <si>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</si>
  <si>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</si>
  <si>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</si>
  <si>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</si>
  <si>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</si>
  <si>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</si>
  <si>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</si>
  <si>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</si>
  <si>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</si>
  <si>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</si>
  <si>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</si>
  <si>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</si>
  <si>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</si>
  <si>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</si>
  <si>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</si>
  <si>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</si>
  <si>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</si>
  <si>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</si>
  <si>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</si>
  <si>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</si>
  <si>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</si>
  <si>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</si>
  <si>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</si>
  <si>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</si>
  <si>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</si>
  <si>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</si>
  <si>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</si>
  <si>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</si>
  <si>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</si>
  <si>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</si>
  <si>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</si>
  <si>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/ WIiT
w ramach RPO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</si>
  <si>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</si>
  <si>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</si>
  <si>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</si>
  <si>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</si>
  <si>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</si>
  <si>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</si>
  <si>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</si>
  <si>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</si>
  <si>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</si>
  <si>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</si>
  <si>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</si>
  <si>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</si>
  <si>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środki z budżetu UE, z tego: 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</si>
  <si>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</si>
  <si>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</si>
  <si>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</si>
  <si>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</si>
  <si>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</si>
  <si>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</si>
  <si>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</si>
  <si>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</si>
  <si>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</si>
  <si>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</si>
  <si>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</si>
  <si>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</si>
  <si>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</si>
  <si>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</si>
  <si>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</si>
  <si>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</si>
  <si>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</si>
  <si>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</si>
  <si>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r>
      <t xml:space="preserve">Tabela Nr 6B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</si>
  <si>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</si>
  <si>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</si>
  <si>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</si>
  <si>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</si>
  <si>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Wojewódzki Urząd Pracy w Szczecinie</t>
  </si>
  <si>
    <t>rozdz. 
85332</t>
  </si>
  <si>
    <t>Centrum Obsługi Inwestorów i Eksporterów</t>
  </si>
  <si>
    <t>dotacja z budżetu województwa dla jos</t>
  </si>
  <si>
    <t>dotacje celowe od innych jst (pomoc finansowa i porozumienia)</t>
  </si>
  <si>
    <t>Wojewódzki Szpital Zespolony w Szczecinie 
pod nadzorem Wydziału Zdrowia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</si>
  <si>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</si>
  <si>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</si>
  <si>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</si>
  <si>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</si>
  <si>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</si>
  <si>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</si>
  <si>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</si>
  <si>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</si>
  <si>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</si>
  <si>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</si>
  <si>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</si>
  <si>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</si>
  <si>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</si>
  <si>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</si>
  <si>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</si>
  <si>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</si>
  <si>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</si>
  <si>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</si>
  <si>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</si>
  <si>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</si>
  <si>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</si>
  <si>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</si>
  <si>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</si>
  <si>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</si>
  <si>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</si>
  <si>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</si>
  <si>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</si>
  <si>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</si>
  <si>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</si>
  <si>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</si>
  <si>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</si>
  <si>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</si>
  <si>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>e-Administracja i e-Turystyka w województwie zachodniopomorskim w ramach działania 3.2 Osi III RPO WZ (2011-2015)</t>
  </si>
  <si>
    <t>rozdz. 60052</t>
  </si>
  <si>
    <t xml:space="preserve">II. POZOSTAŁE  PRZEDSIĘWZIĘCIA  W ZAKRESIE ADMINISTRACJI I  TELEKOMUNIKACJI </t>
  </si>
  <si>
    <t>rozdz. 70005</t>
  </si>
  <si>
    <t>Biuro Geodety Województwa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</si>
  <si>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</si>
  <si>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</si>
  <si>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</si>
  <si>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</si>
  <si>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</si>
  <si>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</si>
  <si>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</si>
  <si>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</si>
  <si>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</si>
  <si>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 xml:space="preserve">Wydział Rolnictwa i Rybactwa
</t>
  </si>
  <si>
    <t>rozdz. 05011</t>
  </si>
  <si>
    <t>Zachodniopomorski Zarząd Melioracji i Urządzeń Wodnych pod nadzorem Wydziału Rolnictwa i Rybactwa</t>
  </si>
  <si>
    <t>rozdz. 01008</t>
  </si>
  <si>
    <t>Pomoc Techniczna  w ramach PROW, Schematu I, II i III (2007-2015)</t>
  </si>
  <si>
    <t xml:space="preserve">Wydział  Programów Rozwoju Obszarów Wiejskich 
</t>
  </si>
  <si>
    <t>rozdz. 01041</t>
  </si>
  <si>
    <t xml:space="preserve">Wydział  Programów Rozwoju Obszarów Wiejskich </t>
  </si>
  <si>
    <t>rodz. 90005</t>
  </si>
  <si>
    <t>Zabezpieczenie przeciwpowodziowe doliny rzeki Parsęty poniżej m. Osówko, w tym m. Kołobrzegu, Karlina i Białogardu w ramach PO IiŚ, Priorytetu III, Działania 3.1. (2010-2013)</t>
  </si>
  <si>
    <t xml:space="preserve">Zachodniopomorski Zarząd Melioracji i Urządzeń Wodnych pod nadzorem Wydziału Rolnictwa i Rybactwa
</t>
  </si>
  <si>
    <t xml:space="preserve">II. POZOSTAŁE  PRZEDSIĘWZIĘCIA W ZAKRESIE ROLNICTWA I OCHRONY ŚRODOWISKA </t>
  </si>
  <si>
    <r>
      <t xml:space="preserve">Tabela Nr 6H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</si>
  <si>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W ZAKRESIE KULTURY FIZYCZNEJ  I TURYSTYKI</t>
  </si>
  <si>
    <t>rozdz. 63003</t>
  </si>
  <si>
    <t>rodz.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</si>
  <si>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</si>
  <si>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</si>
  <si>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</si>
  <si>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</si>
  <si>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</si>
  <si>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 xml:space="preserve">ZESTAWIENIE DOCHODÓW I WYDATKÓW  PLANOWANYCH  NA  PRZEDSIĘWZIĘCIA FINANSOWANE PRZY WSPÓŁUDZIALE ŚRODKÓW, O KTÓRYCH MOWA W ART. 5 UST. 1 PKT 2 I 3 UFP, WG  ŹRÓDEŁ FINANSOWANIA </t>
  </si>
  <si>
    <t>RPO WZ  -  wydatki</t>
  </si>
  <si>
    <t>RPO WZ  -  dochody</t>
  </si>
  <si>
    <t>PO KL - wydatki</t>
  </si>
  <si>
    <t>PO KL - dochody</t>
  </si>
  <si>
    <t>PO IiŚ - wydatki</t>
  </si>
  <si>
    <t>PO IiŚ - dochody</t>
  </si>
  <si>
    <t>PROW - wydatki</t>
  </si>
  <si>
    <t>PROW - dochody</t>
  </si>
  <si>
    <t>PO RYBY - wydatki</t>
  </si>
  <si>
    <t>PO RYBY - dochody</t>
  </si>
  <si>
    <t>Instrument Finansowy LIFE+ (wydatki)</t>
  </si>
  <si>
    <t>Instrument Finansowy LIFE+ (dochody)</t>
  </si>
  <si>
    <t>PO Pomoc Techniczna - wydatki</t>
  </si>
  <si>
    <t>PO Pomoc Techniczna - dochody</t>
  </si>
  <si>
    <t>PO Innowacyjna Gospodarka - wydatki</t>
  </si>
  <si>
    <t>PO Innowacyjna Gospodarka - dochody</t>
  </si>
  <si>
    <t>Program EWT - wydatki</t>
  </si>
  <si>
    <t>Program EWT- dochody</t>
  </si>
  <si>
    <t>OGÓŁEM    WYDATKI</t>
  </si>
  <si>
    <t>OGÓŁEM  DOCHODY</t>
  </si>
  <si>
    <t>sprawdzenie z załacznika Nr 2 - WYDATKI</t>
  </si>
  <si>
    <t>sprawdzenie z załacznika Nr 2 - DOCHODY</t>
  </si>
  <si>
    <t>RÓŻNICE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</si>
  <si>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</si>
  <si>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</si>
  <si>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rodz. 71095</t>
  </si>
  <si>
    <t>rodz. 75862</t>
  </si>
  <si>
    <t>Modernizacja budynku internatu przy pl. Orła Białego 2 
w Szczecinie Akademii Sztuki w Szczecinie  (2013-2015)</t>
  </si>
  <si>
    <t>rozdz. 85111/
85195</t>
  </si>
  <si>
    <r>
      <t>Tabela Nr 6F</t>
    </r>
    <r>
      <rPr>
        <i/>
        <sz val="12"/>
        <rFont val="Arial CE"/>
        <charset val="238"/>
      </rPr>
      <t xml:space="preserve">  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</si>
  <si>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</si>
  <si>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rozdz. 75095</t>
  </si>
  <si>
    <t>2019 r.</t>
  </si>
  <si>
    <t xml:space="preserve">2020 r. 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</si>
  <si>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</si>
  <si>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</si>
  <si>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</si>
  <si>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</si>
  <si>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</si>
  <si>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</si>
  <si>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</si>
  <si>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Pomoc Techniczna w ramach  PO WER - wydatki</t>
  </si>
  <si>
    <t>Pomoc Techniczna w ramach  PO WER - dochody</t>
  </si>
  <si>
    <t>rozdz. 92502</t>
  </si>
  <si>
    <t>Parki Krajobrazowe Województwa Zachodniopomorskiego nadzór WTiG</t>
  </si>
  <si>
    <t>Środki z budżetu krajowego, z tego:</t>
  </si>
  <si>
    <t>rozdz. 75863</t>
  </si>
  <si>
    <t>Pozostałe projekty współfinansowane ze śrdoków Unii Europejskiej - wydatki</t>
  </si>
  <si>
    <t>Pozostałe projekty współfinansowane ze śrdoków Unii Europejskiej -  dochody</t>
  </si>
  <si>
    <t>22.</t>
  </si>
  <si>
    <t>23.</t>
  </si>
  <si>
    <r>
      <t xml:space="preserve">Uwaga!  </t>
    </r>
    <r>
      <rPr>
        <i/>
        <sz val="9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</si>
  <si>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</si>
  <si>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</si>
  <si>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</si>
  <si>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</si>
  <si>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</si>
  <si>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</si>
  <si>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</si>
  <si>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 / WIiT</t>
  </si>
  <si>
    <t>WZS/ WIiT</t>
  </si>
  <si>
    <t>rodz.  75863</t>
  </si>
  <si>
    <t>Pomoc Techniczna  w ramach PROW - zakupy inwestycyjne (2015-2019)</t>
  </si>
  <si>
    <t>ZZDW / WZS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</si>
  <si>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</si>
  <si>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</si>
  <si>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</si>
  <si>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</si>
  <si>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</si>
  <si>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PROJEKTY  REALIZOWANE  W  RAMACH  IW  INTERREG</t>
  </si>
  <si>
    <t>środki z Unii Europejskiej (refundacja)</t>
  </si>
  <si>
    <t>IW INTERREG NA LATA 2014 - 2020</t>
  </si>
  <si>
    <t>spr źródeł</t>
  </si>
  <si>
    <t>spr doch suma dziedzin</t>
  </si>
  <si>
    <t>poręczenia dla ZOZ-ów</t>
  </si>
  <si>
    <t xml:space="preserve">rozdz.
 </t>
  </si>
  <si>
    <t xml:space="preserve">rozdz. 
</t>
  </si>
  <si>
    <t>rozdz.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</si>
  <si>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</si>
  <si>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</si>
  <si>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</si>
  <si>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</si>
  <si>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</si>
  <si>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</si>
  <si>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</si>
  <si>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</si>
  <si>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</si>
  <si>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</si>
  <si>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</si>
  <si>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</si>
  <si>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</si>
  <si>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 xml:space="preserve">2021 r. </t>
  </si>
  <si>
    <t xml:space="preserve">2022 r. </t>
  </si>
  <si>
    <t xml:space="preserve">2023 r. 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</si>
  <si>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</si>
  <si>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</si>
  <si>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</si>
  <si>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</si>
  <si>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</si>
  <si>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</si>
  <si>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</si>
  <si>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</si>
  <si>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</si>
  <si>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</si>
  <si>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</si>
  <si>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</si>
  <si>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</si>
  <si>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</si>
  <si>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</si>
  <si>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</si>
  <si>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</si>
  <si>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</si>
  <si>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</si>
  <si>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</si>
  <si>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</si>
  <si>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</si>
  <si>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</si>
  <si>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</si>
  <si>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</si>
  <si>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</si>
  <si>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</si>
  <si>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</si>
  <si>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</si>
  <si>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</si>
  <si>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</si>
  <si>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</si>
  <si>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</si>
  <si>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19.</t>
  </si>
  <si>
    <t>21.</t>
  </si>
  <si>
    <t>WOiRZL</t>
  </si>
  <si>
    <t>Umowa leasingu samochodu osobowego (2016 - 2019)</t>
  </si>
  <si>
    <t xml:space="preserve">Wsparcie gmin w opracowaniu albo aktualizacji programów rewitalizacji w ramach PO Pomoc Techniczna (2016 - 2018) 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</si>
  <si>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</si>
  <si>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</si>
  <si>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</si>
  <si>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r>
      <t xml:space="preserve">Modernizacja skrzydła północnego Zamku Książąt Pomorskich w Szczecinie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(2012-2015) </t>
    </r>
  </si>
  <si>
    <t xml:space="preserve">rozdz.
</t>
  </si>
  <si>
    <t>25.</t>
  </si>
  <si>
    <t>środki z budżetu województwa (subwencja)</t>
  </si>
  <si>
    <t xml:space="preserve">rozdz. </t>
  </si>
  <si>
    <t>Przebudowa i rozbudowa przejścia drogi woj. nr 122 przez m. Krzywin (etap II) w ramach IW INTERREG V A (2018-2019)</t>
  </si>
  <si>
    <t>Przebudowa i rozbudowa przejścia drogi woj. nr 125 przez m. Moryń i m. Bielin w ramach IW INTERREG V A (2018-2019)</t>
  </si>
  <si>
    <t>Oś X, Pomoc techniczna RPO WZ 2014-2020 (2015-2023)</t>
  </si>
  <si>
    <t>Konsolidacja siedziby Urzędu Marszałkowskiego Województwa Zachodniopomorskiego - razem etap A i B  (2016-2020)</t>
  </si>
  <si>
    <t>rozdz. 
60001
75863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</si>
  <si>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</si>
  <si>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t>Decyzja o dofinansowaniu projektu Nr RPZP.05.06.00-32-0001/16-00 z 1.08.2016</t>
  </si>
  <si>
    <t>Brak decyzji</t>
  </si>
  <si>
    <t>Wspieranie innowacyjnych ekosystemów przedsiębiorczości w regionach na rzecz młodych przedsiębiorców (iEER) w ramach Interreg VC (2016-2020)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</si>
  <si>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</si>
  <si>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</si>
  <si>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</si>
  <si>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</si>
  <si>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</si>
  <si>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</si>
  <si>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</si>
  <si>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</si>
  <si>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Szlaki rowerowe na wybranych odcinkach wałów przeciwpowodziowych w województwie zachodniopomorskim w ramach Osi IV RPO (2017-2018)</t>
  </si>
  <si>
    <t>WWT/
WOiRZL</t>
  </si>
  <si>
    <t>ROPS/
WOiRZL</t>
  </si>
  <si>
    <t>WUP 
w Szczecinie</t>
  </si>
  <si>
    <t>WUP
 w Szczecinie</t>
  </si>
  <si>
    <t>WUP
 w Szczecinie
pod nadzorem WZS</t>
  </si>
  <si>
    <t>Specjalistyczny Szpital im. A. Sokołowskiego 
w Szczecinie - Zdunowo 
pod nadzorem WZ i WZS</t>
  </si>
  <si>
    <t>SPS ZOZ ZDROJE Szczecin 
pod nadzorem WZ</t>
  </si>
  <si>
    <t>SPS ZOZ ZDROJE Szczecin 
pod nadzorem 
WZ i WZS</t>
  </si>
  <si>
    <t>Specjalistyczny Szpital im. A. Sokołowskiego 
w Szczecinie - Zdunowo pod nadzorem WZ</t>
  </si>
  <si>
    <t>Szpital Wojewódzki 
w Koszalinie pod nadzorem WZ</t>
  </si>
  <si>
    <t>Wojewódzki Szpital Zespolony w Szczecinie 
pod nadzorem WZ</t>
  </si>
  <si>
    <t>Wojewódzki Szpital Zespolony w Szczecinie 
pod nadzorem
 WZ i WZS</t>
  </si>
  <si>
    <t>Regionalny Szpital 
w Kołobrzegu 
pod nadzorem WZ</t>
  </si>
  <si>
    <t>WZS</t>
  </si>
  <si>
    <t>WSIiI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</si>
  <si>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</si>
  <si>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</si>
  <si>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</si>
  <si>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</si>
  <si>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>ZZMiUW pod nadzorem WRiR</t>
  </si>
  <si>
    <t xml:space="preserve">WPROW 
</t>
  </si>
  <si>
    <t>RBGP WZ w Szczecinie pod nadzorem WZS</t>
  </si>
  <si>
    <r>
      <t>Bałtyckie Obszary Energii - Perspektywa Planistyczna BEA-APP</t>
    </r>
    <r>
      <rPr>
        <sz val="9"/>
        <rFont val="Arial CE"/>
        <charset val="238"/>
      </rPr>
      <t xml:space="preserve"> w ramach programu EWT Region Morza Bałtyckiego (2016-2019)</t>
    </r>
  </si>
  <si>
    <t>Bieżące utrzymanie dróg i mostów (2017-2020)</t>
  </si>
  <si>
    <t>Przebudowa dróg i mostów (2017-2020)</t>
  </si>
  <si>
    <t>Studium wykonalności Zachodniego Drogowego Obejścia Miasta Szczecina wraz z Raportem oddziaływania na środowisko (2009-2017)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</si>
  <si>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</si>
  <si>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</si>
  <si>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</si>
  <si>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</si>
  <si>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</si>
  <si>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</si>
  <si>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</si>
  <si>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</si>
  <si>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</si>
  <si>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</si>
  <si>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Budowa Centrum Nauki w Szczecinie w ramach osi IX RPO WZ 2014-2020 (2011-2022)</t>
  </si>
  <si>
    <t>rozdz. 92109</t>
  </si>
  <si>
    <t>Zamek Książąt Pomorskich w Szczecinie - nadzór WKNiDN</t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</si>
  <si>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</t>
    </r>
    <r>
      <rPr>
        <b/>
        <sz val="9"/>
        <rFont val="Arial CE"/>
        <charset val="238"/>
      </rPr>
      <t>2017</t>
    </r>
    <r>
      <rPr>
        <b/>
        <sz val="9"/>
        <rFont val="Arial CE"/>
        <family val="2"/>
        <charset val="238"/>
      </rPr>
      <t>)</t>
    </r>
  </si>
  <si>
    <t>rozdz. 
71012</t>
  </si>
  <si>
    <t>rozdz. 71012</t>
  </si>
  <si>
    <t xml:space="preserve">
WWT/
WOiRZL</t>
  </si>
  <si>
    <t xml:space="preserve">Zakupy inwestycyjne w ramach wsparcia gmin w opracowaniu albo aktualizacji programów rewitalizacji w ramach PO Pomoc Techniczna (2016 - 2018) </t>
  </si>
  <si>
    <r>
      <t xml:space="preserve">Zrównoważona mobilność na obszarze ostatniej mili w regionach turystycznych (LAST MILE) </t>
    </r>
    <r>
      <rPr>
        <sz val="9"/>
        <rFont val="Arial CE"/>
        <charset val="238"/>
      </rPr>
      <t>w ramach programu EWT Region Morza Bałtyckiego (2016-2020)</t>
    </r>
  </si>
  <si>
    <t>Oś Priorytetowa VI, Pomoc Techniczna w ramach  PO WER 2014 - 2020 (2015-2020)</t>
  </si>
  <si>
    <t>Oś Priorytetowa VI, Pomoc Techniczna w ramach  PO WER 2014-2020 - wydatki majątkowe (2015-2020)</t>
  </si>
  <si>
    <t>Modernizacja i remont dziedzińców Zamku Książąt Pomorskich w Szczecinie (2017-2018)</t>
  </si>
  <si>
    <t>*</t>
  </si>
  <si>
    <t>Zlecanie wykonania i udostępniania map topograficznych i tematycznych opracowań numerycznych, prowadzenie wojewódzkich baz danych oraz standardowych opracowań kartograficznych (2016-2017)</t>
  </si>
  <si>
    <t>Gospodarowanie nieruchomościami należącymi do zasobu Województwa Zachodniopomorskiego (2010-2017)</t>
  </si>
  <si>
    <t>majątkowe/
bieżące*</t>
  </si>
  <si>
    <t>TABELE DO OBJAŚNIEŃ</t>
  </si>
  <si>
    <t>rozdz. 
15011
75018</t>
  </si>
  <si>
    <t xml:space="preserve"> - Gmina i Miasto Koszalin/AZR</t>
  </si>
  <si>
    <t>Limity zobowiązań 2017-2023 i lata następne</t>
  </si>
  <si>
    <t>Limity zobowiązań 2017-2020 i lata następne</t>
  </si>
  <si>
    <t>Limity zobowiązań 2017-2023  i lata następne</t>
  </si>
  <si>
    <t>Limit zobowiązań 
w latach 
2017-2023</t>
  </si>
  <si>
    <t>Prognozowane nakłady inwestycyjne /dochody 
w latach 2017 - 2023</t>
  </si>
  <si>
    <t>Prognozowane nakłady inwestycyjne / dochody z tytułu realizacji projektów  w latach 2017-2023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</si>
  <si>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</si>
  <si>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Ekonomia społeczna kluczem do sukcesu w ramach działania 7.5 RPO WZ (2016-2017)</t>
  </si>
  <si>
    <t>rozdz. 01078</t>
  </si>
  <si>
    <t>Utrzymanie szlaków rowerowych na wybranych odcinkach wałów przeciwpowodziowych w Województwie Zachodniopomorskim</t>
  </si>
  <si>
    <t>26.</t>
  </si>
  <si>
    <t>Rozbudowa Szpitala Dziecięcego SPS ZOZ "Zdroje" w Szczecinie - utworzenie Zachodniopomorskiego Centrum Opieki Nad Kobietą i Dzieckiem (2010-2017)</t>
  </si>
  <si>
    <t>Przebudowa i rozbudowa przejścia drogi wojewódzkiej nr 120 przez m. Wełtyń w ramach IW INTERREG V A (2016-2017)</t>
  </si>
  <si>
    <t>RPO WZ NA LATA 2007-2013</t>
  </si>
  <si>
    <t>Projekt ochrony przeciwpowodziowej w dorzeczu Odry i Wisły - komponent 1.A Ochrona przed powodzią obszarów na terenie Województwa Zachodniopomorskiego (2017 - 2022)</t>
  </si>
  <si>
    <t>Utrzymanie szlaków rowerowych na wybranych odcinkach wałów przeciwpowodziowych w Województwie Zachodniopomorskim (2019 - 2023)</t>
  </si>
  <si>
    <t xml:space="preserve">Budowa niebieskiego korytarza ekologicznego wzdłuż doliny rzeki Regi  i jej dopływów w ramach Instrumentu Finansowego LIFE+ (2012-2019) </t>
  </si>
  <si>
    <t>Zespół Parków Krajobrazowych WZ pod nadzorem WTG</t>
  </si>
  <si>
    <t>ZZMiUW w Szczecinie pod nadzorem WRiR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</si>
  <si>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</si>
  <si>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>Limit zobowiązań na lata 2017-20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</si>
  <si>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</si>
  <si>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r>
      <t xml:space="preserve">Poznaj Pomorze Zachodnie. Oznakowanie turystyczne regionu </t>
    </r>
    <r>
      <rPr>
        <sz val="9"/>
        <rFont val="Arial CE"/>
        <charset val="238"/>
      </rPr>
      <t>w ramach RPO WZ, Osi V</t>
    </r>
    <r>
      <rPr>
        <b/>
        <sz val="9"/>
        <rFont val="Arial CE"/>
        <family val="2"/>
        <charset val="238"/>
      </rPr>
      <t xml:space="preserve"> (2012-2016)</t>
    </r>
  </si>
  <si>
    <r>
      <t xml:space="preserve">Poznaj Pomorze Zachodnie. Oznakowanie turystyczne regionu </t>
    </r>
    <r>
      <rPr>
        <sz val="9"/>
        <rFont val="Arial CE"/>
        <charset val="238"/>
      </rPr>
      <t>w ramach RPO WZ, Osi V -</t>
    </r>
    <r>
      <rPr>
        <b/>
        <sz val="9"/>
        <rFont val="Arial CE"/>
        <charset val="238"/>
      </rPr>
      <t xml:space="preserve"> wydatki inwestycyjne</t>
    </r>
    <r>
      <rPr>
        <b/>
        <sz val="9"/>
        <rFont val="Arial CE"/>
        <family val="2"/>
        <charset val="238"/>
      </rPr>
      <t xml:space="preserve"> (2012-2015)</t>
    </r>
  </si>
  <si>
    <t>Pomoc Techniczna  w ramach PROW 2014 - 2020 (2015-2023)</t>
  </si>
  <si>
    <t>rozdz. 63003,    75018</t>
  </si>
  <si>
    <t>rozdz. 92116</t>
  </si>
  <si>
    <t>Książnica Pomorska w Szczecinie - nadzór WKNiDN</t>
  </si>
  <si>
    <t>Wyposażenie w nowoczesny sprzęt Zachodniopomorskiej Książnicy Cyfrowej w Szczecinie (2017-2018)</t>
  </si>
  <si>
    <t xml:space="preserve"> - WWŚRPO</t>
  </si>
  <si>
    <t>WWŚRPO</t>
  </si>
  <si>
    <t>WTiG / WOiRZL</t>
  </si>
  <si>
    <t>bez umowy</t>
  </si>
  <si>
    <t>IW INTERREG VA drogi - wydatki</t>
  </si>
  <si>
    <t>IW  INTERREG  VA drogi - dochody</t>
  </si>
  <si>
    <t>INTERREG VC (wsparcie przedsiębiorczości) - wydatki</t>
  </si>
  <si>
    <t>INTERREG VC (wsparcie przedsiębiorczości) - dochody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</si>
  <si>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</si>
  <si>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</si>
  <si>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</si>
  <si>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</si>
  <si>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(2013-2017)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</si>
  <si>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(2016-2017)</t>
    </r>
  </si>
  <si>
    <t>Fish Markets - dziedzictwo rybołówstwa przybrzeżnego jako potencjał rozwoju turystyki w ramach Programu INTERREG Południowy Bałtyk 2014-2020 (2017-2019)</t>
  </si>
  <si>
    <t>Biking South Baltic! Promocja i rozwój Trasy Rowerowej Morza Bałtyckiego (EuroVelo 10) w Danii, Niemczech, Litwie, Polsce i Szwecji w ramach Programu Interreg Południowy Bałtyk (2017-2019) - zakupy inwestycyjne</t>
  </si>
  <si>
    <t>Biking South Baltic! Promocja i rozwój Trasy Rowerowej Morza Bałtyckiego (EuroVelo 10) w Danii, Niemczech, Litwie, Polsce i Szwecji w ramach Programu Interreg Południowy Bałtyk (2017-2019)</t>
  </si>
  <si>
    <t>Wypłata odszkodowań za nieruchomości pod planowane inwestycje drogowe  (2012-2017)</t>
  </si>
  <si>
    <t>rozdz. 75018
75095
90011*</t>
  </si>
  <si>
    <t xml:space="preserve"> * dotyczy wykonania wydatków WFOŚiGW</t>
  </si>
  <si>
    <t>WZS, WWRPO, WOiRZL, GM, WWŚRPO</t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</si>
  <si>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w ra</t>
    </r>
    <r>
      <rPr>
        <sz val="9"/>
        <rFont val="Arial CE"/>
        <family val="2"/>
        <charset val="238"/>
      </rPr>
      <t>mach RPO WZ, Osi IV</t>
    </r>
    <r>
      <rPr>
        <b/>
        <sz val="9"/>
        <rFont val="Arial CE"/>
        <family val="2"/>
        <charset val="238"/>
      </rPr>
      <t xml:space="preserve"> (2016-2018)</t>
    </r>
  </si>
  <si>
    <t xml:space="preserve">Wzmacnianie ochrony bociana białego i nietoperzy oraz realizacja zadań czynnej ochrony w rezerwatach przyrody na obszarach parków krajobrazowych województwa zachodniopomorskiego- bieżące" w ramach Osi IV RPO (2017-2020) </t>
  </si>
  <si>
    <t>Wzmacnianie ochrony bociana białego i nietoperzy oraz realizacja zadań czynnej ochrony w rezerwatach przyrody na obszarach parków krajobrazowych województwa zachodniopomorskiego - majątkowe" w ramach Osi IV RPO (2017-2020)</t>
  </si>
  <si>
    <t>Samodzielny Publiczny Wojewódzki
Szpital
 Zespolony w Szczecinie pod nadzorem WZ</t>
  </si>
  <si>
    <t>Limit` 17</t>
  </si>
  <si>
    <t xml:space="preserve">Budowa niebieskiego korytarza ekologicznego wzdłuż doliny rzeki Iny i jej dopływów w ramach Instrumentu Finansowego LIFE+ (2011-2016) </t>
  </si>
  <si>
    <t>Wykonanie wg sprawozdania</t>
  </si>
  <si>
    <t xml:space="preserve">Różnica
</t>
  </si>
  <si>
    <t>Utrzymanie i naprawy pojazdów szynowych Województwa (2015 -2020)</t>
  </si>
  <si>
    <t>WZS, WWRPO, GM, WWŚRPO</t>
  </si>
  <si>
    <t>Budowa wiaduktu w m. Rzeczyca w ciągu drogi nr 206 (2017-2018)</t>
  </si>
  <si>
    <t xml:space="preserve">7. </t>
  </si>
  <si>
    <t>Zintegrowane wsparcie dla rodzin i pieczy zastępczej na terenie województwa zachodniopomorskiego w ramach działania 7.6 RPO WZ (2017-2018)</t>
  </si>
  <si>
    <t xml:space="preserve">8. </t>
  </si>
  <si>
    <t>rozdz. 
75864</t>
  </si>
  <si>
    <t>rozdz. 
75863</t>
  </si>
  <si>
    <t xml:space="preserve">9. </t>
  </si>
  <si>
    <t>GM</t>
  </si>
  <si>
    <t>COiE</t>
  </si>
  <si>
    <t>GM/COiE/WWT, WTiG/WOiRZL</t>
  </si>
  <si>
    <t>rozdz. 
75018
75075</t>
  </si>
  <si>
    <t>GM/
COiE</t>
  </si>
  <si>
    <t>rozdz. 
75075</t>
  </si>
  <si>
    <t>**</t>
  </si>
  <si>
    <r>
      <t>TENTacle – wykorzystanie korytarzy sieci bazowej TEN-T w ramach IW INTERREG VB (2016-2019)</t>
    </r>
    <r>
      <rPr>
        <b/>
        <sz val="10"/>
        <rFont val="Arial CE"/>
        <charset val="238"/>
      </rPr>
      <t>**</t>
    </r>
  </si>
  <si>
    <t>w tym:</t>
  </si>
  <si>
    <t>rozdz. 71095</t>
  </si>
  <si>
    <t>Strategia Rozwoju Województwa Zachodniopomorskiego do roku 2030 - badania, analizy i oceny eksperckie (2017-2018)</t>
  </si>
  <si>
    <t xml:space="preserve">w 2016 r. przesunięcie między źródłami fin o kwotę 747 zł </t>
  </si>
  <si>
    <t>2016 r. uwzględniono dokumentację</t>
  </si>
  <si>
    <t xml:space="preserve"> - dziedziny</t>
  </si>
  <si>
    <t>Wzmocnienie pozycji regionalnej gospodarki, Pomorze Zachodnie - Ster na innowacje w ramach osi I RPO WZ - wydatki bieżące (2017-2019)</t>
  </si>
  <si>
    <t>Wzmocnienie pozycji regionalnej gospodarki, Pomorze Zachodnie - Ster na innowacje w ramach osi I RPO WZ - wydatki majątkowe (2017-2019)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</si>
  <si>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</si>
  <si>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</si>
  <si>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</si>
  <si>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</si>
  <si>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</si>
  <si>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</si>
  <si>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t>Wieloletnie umowy mające na celu zapewnienie ciągłości działania Urzędu Marszałkowskiego Województwa Zachodniopomorskiego (2012 - 2020)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</si>
  <si>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</si>
  <si>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</si>
  <si>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>Wspólny Sekretariat - Pomoc Techniczna w ramach  Programu Współpracy INTERREG VA (2016-2022)</t>
    </r>
    <r>
      <rPr>
        <b/>
        <sz val="10"/>
        <rFont val="Arial CE"/>
        <charset val="238"/>
      </rPr>
      <t>**</t>
    </r>
  </si>
  <si>
    <r>
      <t>Młodzież w działaniu, Prowadzenie Punktu Informacji Europejskiej</t>
    </r>
    <r>
      <rPr>
        <sz val="11"/>
        <rFont val="Arial CE"/>
        <charset val="238"/>
      </rPr>
      <t xml:space="preserve"> (środki Komisji Europejskiej), </t>
    </r>
    <r>
      <rPr>
        <b/>
        <sz val="11"/>
        <rFont val="Arial CE"/>
        <charset val="238"/>
      </rPr>
      <t>GRUNTVIG</t>
    </r>
    <r>
      <rPr>
        <b/>
        <sz val="11"/>
        <rFont val="Arial CE"/>
        <family val="2"/>
        <charset val="238"/>
      </rPr>
      <t xml:space="preserve"> - wydatki</t>
    </r>
  </si>
  <si>
    <r>
      <t xml:space="preserve">Młodzież w działaniu, Prowadzenie Punktu Informacji Europejskiej </t>
    </r>
    <r>
      <rPr>
        <sz val="11"/>
        <rFont val="Arial CE"/>
        <charset val="238"/>
      </rPr>
      <t xml:space="preserve">(środki Komisji Europejskiej), </t>
    </r>
    <r>
      <rPr>
        <b/>
        <sz val="11"/>
        <rFont val="Arial CE"/>
        <charset val="238"/>
      </rPr>
      <t>GRUNTVIG</t>
    </r>
    <r>
      <rPr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- dochody</t>
    </r>
  </si>
  <si>
    <t xml:space="preserve">► różnica </t>
  </si>
  <si>
    <t>Decyzja jest - do uzupełnienia - po 5 czerwca</t>
  </si>
  <si>
    <t>rozdz.
60095</t>
  </si>
  <si>
    <t>rozdz. 60095
75018</t>
  </si>
  <si>
    <t>TalkNET - Sieć zainteresowanych podmiotów z sektora transportu i logistyki w ramach IW INTERREG VB (2017-2020)</t>
  </si>
  <si>
    <t>Wsparcie techniczne Interreg VA Południowy Bałtyk - wydatki majątkowe (2015-2020)</t>
  </si>
  <si>
    <t>Regionalny Punkt Kontaktowy - Pomoc Techniczna w ramach Programu Współpracy INTERREG VA - wydatki bieżące (2016-2020)</t>
  </si>
  <si>
    <t>INTERREG VB  TENTacle; TalkNET - Sieć zainteresowanych  - wydatki</t>
  </si>
  <si>
    <t>INTERREG VB  TENTacle; TalkNET - Sieć zainteresowanych - dochody</t>
  </si>
  <si>
    <t xml:space="preserve"> Interreg VA Program Południowy Bałtyk - wydatki</t>
  </si>
  <si>
    <t>IW INTERREG VA Pomoc Tech. (WWT Poludniowy Bałtyk; Regionalny Punkt Kontaktowy) - wydatki</t>
  </si>
  <si>
    <t>IW  INTERREG VA Pomoc Tech.  ((WWT Poludniowy Bałtyk; Regionalny Punkt Kontaktowy) ) - dochody</t>
  </si>
  <si>
    <t xml:space="preserve"> Interreg VA Program Południowy Bałtyk    - dochody</t>
  </si>
  <si>
    <t>Przebudowa odcinków szlakowych dróg wojewódzkich (2017-2019)</t>
  </si>
  <si>
    <t>rozdz. 63003/75018</t>
  </si>
  <si>
    <t>WTIG</t>
  </si>
  <si>
    <t>Modernizacja sieci komputerowej logicznej i elektrycznej w Książnicy Pomorskiej (2017-2018)</t>
  </si>
  <si>
    <t>Decyzja podpisana - po 5 czerwca</t>
  </si>
  <si>
    <t xml:space="preserve">rozdz. 92502,   75863 </t>
  </si>
  <si>
    <t>rozdz. 
60013</t>
  </si>
  <si>
    <t>bez umwoy</t>
  </si>
  <si>
    <t>umowa</t>
  </si>
  <si>
    <t>kontynuowane</t>
  </si>
  <si>
    <t>Bałtyckie trasy dziedzictwa w ramach Programu Interreg Południowy Bałtyk (2017-2020)</t>
  </si>
  <si>
    <t>BALTIC STORIES - Rozwój turystyki poprzez profesjonalizację wydarzeń w regionie południowego bałtyku w ramach Programu Interreg Południowy Bałtyk (2017-2020)</t>
  </si>
  <si>
    <t>Regionalny Punkt Kontaktowy - Pomoc Techniczna w ramach Programu Współpracy INTERREG VA - wydatki majątkowe  (2016-2020)</t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</si>
  <si>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</si>
  <si>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</t>
    </r>
    <r>
      <rPr>
        <b/>
        <sz val="9"/>
        <rFont val="Arial CE"/>
        <charset val="238"/>
      </rPr>
      <t>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</si>
  <si>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</t>
    </r>
    <r>
      <rPr>
        <b/>
        <sz val="9"/>
        <rFont val="Arial CE"/>
        <charset val="238"/>
      </rPr>
      <t>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</si>
  <si>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</si>
  <si>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</si>
  <si>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</si>
  <si>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</si>
  <si>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Dokumentacje techniczne na budowę sieci tras rowerowych Pomorza Zachodniego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</si>
  <si>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w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ramach RPO WZ, Osi IV</t>
    </r>
    <r>
      <rPr>
        <b/>
        <sz val="9"/>
        <rFont val="Arial CE"/>
        <family val="2"/>
        <charset val="238"/>
      </rPr>
      <t xml:space="preserve"> (2016-2018)</t>
    </r>
    <r>
      <rPr>
        <b/>
        <sz val="9"/>
        <rFont val="Arial CE"/>
        <charset val="238"/>
      </rPr>
      <t>*</t>
    </r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</si>
  <si>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</si>
  <si>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</si>
  <si>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</si>
  <si>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</si>
  <si>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33.257.445 zł</t>
    </r>
    <r>
      <rPr>
        <i/>
        <sz val="8"/>
        <rFont val="Arial CE"/>
        <charset val="238"/>
      </rPr>
      <t>.</t>
    </r>
  </si>
  <si>
    <t>Poręczenie kredytu konsolidacyjnego dla Samodzielnego Publicznego Wojewódzkiego Szpitala Zespolonego  w Szczecinie (2017-2032)**</t>
  </si>
  <si>
    <t>dotacje celowe / płatności z UE**</t>
  </si>
  <si>
    <t>** W kolumnie 4 uwzględniono dochody w kwocie 2.029.435 zł, których wpływ zaplanowano na 2024 r.</t>
  </si>
  <si>
    <t>Wsparcie techniczne Interreg VA Południowy Bałtyk - wydatki bieżące (2015-2020)</t>
  </si>
  <si>
    <t>Poręczenie kredytu dla Szpitala w Szczecinie Zdunowie - następca prawny SPWSZ w Szczecinie  (2014-2022)</t>
  </si>
  <si>
    <t>Specjalistyczny Szpital im. A. Sokołowskiego 
w Szczecinie - Zdunowo - następcy prawnego SPWSZ 
w Szczecinie   
pod nadzorem WZ</t>
  </si>
  <si>
    <t>WYDATKI ŁĄCZNIE - 
stan na 24 października  2017 r.</t>
  </si>
  <si>
    <t>DOCHODY ŁĄCZNIE - 
stan na 24 października 2017 r.</t>
  </si>
  <si>
    <t>WYDATKI ŁĄCZNIE - 
stan na 12 września 2017 r.</t>
  </si>
  <si>
    <t>DOCHODY ŁĄCZNIE - 
stan na 12 września 2017 r.</t>
  </si>
  <si>
    <t>do 2016 r.</t>
  </si>
  <si>
    <t>do  2016 r.</t>
  </si>
  <si>
    <t>do 2016</t>
  </si>
  <si>
    <t>WYDATKI</t>
  </si>
  <si>
    <t>DOCHODY</t>
  </si>
  <si>
    <t>8a</t>
  </si>
  <si>
    <t>8b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</si>
  <si>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</si>
  <si>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t>Prognozowane nakłady inwestycyjne / dochody z tytułu realizacji projektów  
w latach 2017-2023</t>
  </si>
  <si>
    <t>Ubezpieczenie taboru kolejowego Województwa (2011-2021)</t>
  </si>
  <si>
    <t xml:space="preserve">Usługi telekomunikacyjne dla pojazdów szynowych Województwa (2015-2021) </t>
  </si>
  <si>
    <t>Wymiana i rozbudowa parku maszyn i urządzeń ZZDW w Koszalinie (2016-2018)</t>
  </si>
  <si>
    <t>Przebudowa i rozbudowa przejścia drogowego przez m. Tanowo na drodze woj. Nr 115 w ramach IW INTERREG V A (2010-2018)</t>
  </si>
  <si>
    <t>Przebudowa i rozbudowa przejścia drogi woj. nr 125 przez m. Golice i m. Klępicz w ramach IW INTERREG V A (2016-2018)</t>
  </si>
  <si>
    <t>Przebudowa i rozbudowa przejścia drogi woj. nr 114 przez m. Brzózki w ramach IW INTERREG V A (2016-2018)</t>
  </si>
  <si>
    <t>decyzja z 25.09.17</t>
  </si>
  <si>
    <t>Wykazanie w WPF wyższego wkonania wydatków za 2016 r. o kwotę 344 zł niż w sprawozdaniu RB-28Sza 2016 r. związane jest z poniesionymi wydatkami niekwalifikonanymi - różnice krusowe - ujętymi w dziale 75095.</t>
  </si>
  <si>
    <t xml:space="preserve">Dochody wykazane w 2016 r. obejmują dochody bieżące (wyodrębnione w związku z otrzymaniem decyzji o dofinansowaniu projektów i możliwością refundacji kosztów pośrednich stanowiących 2 % kwalifikowanych kosztów bezpośrednich) i majątkowe. </t>
  </si>
  <si>
    <t xml:space="preserve">* kwota wykonania 2016 r. (250 844 zł) jednak nie jest zgodna ze sprawozdaniem RB, wynika z faktycznie poniesionych przez jednostkę wydatków </t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</si>
  <si>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</si>
  <si>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</si>
  <si>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</si>
  <si>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</si>
  <si>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Świdwin - Łobez </t>
    </r>
    <r>
      <rPr>
        <sz val="9"/>
        <rFont val="Arial CE"/>
        <family val="2"/>
        <charset val="238"/>
      </rPr>
      <t>(etap I przebudowa mostu w m. Łobez)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(2013-2017)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</si>
  <si>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(2010-2018)</t>
    </r>
  </si>
  <si>
    <r>
      <t xml:space="preserve">Przebudowa ul. Jagiełły w ciągu drogi wojewódzkiej nr 160 i ul. Dąbrowszczaków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</si>
  <si>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(2016-2018)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</si>
  <si>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</si>
  <si>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</si>
  <si>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Budowa sieci tras rowerowych Pomorza Zachodniego - Trasa Pojezierna </t>
    </r>
    <r>
      <rPr>
        <sz val="9"/>
        <rFont val="Arial CE"/>
        <family val="2"/>
        <charset val="238"/>
      </rPr>
      <t xml:space="preserve">w ramach Osi IV RPO </t>
    </r>
    <r>
      <rPr>
        <b/>
        <sz val="9"/>
        <rFont val="Arial CE"/>
        <family val="2"/>
        <charset val="238"/>
      </rPr>
      <t>(2016-2018)</t>
    </r>
  </si>
  <si>
    <r>
      <t xml:space="preserve">Budowa sieci tras rowerowych Pomorza Zachodniego - Trasa Nadmorska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</si>
  <si>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Budowa sieci tras rowerowych Pomorza Zachodniego - Trasa Zielonego Pogranicza odc. Gryfino - Trzcińsko Zdrój </t>
    </r>
    <r>
      <rPr>
        <sz val="9"/>
        <rFont val="Arial CE"/>
        <charset val="238"/>
      </rPr>
      <t xml:space="preserve">w ramach Osi IV RPO WZ </t>
    </r>
    <r>
      <rPr>
        <b/>
        <sz val="9"/>
        <rFont val="Arial CE"/>
        <family val="2"/>
        <charset val="238"/>
      </rPr>
      <t>(2017-2018)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</si>
</sst>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</numFmts>
  <fonts count="8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i/>
      <sz val="12"/>
      <name val="Arial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7.5"/>
      <name val="Arial"/>
      <family val="2"/>
      <charset val="238"/>
    </font>
    <font>
      <sz val="9"/>
      <color rgb="FFFF0000"/>
      <name val="Arial CE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13"/>
        <bgColor indexed="15"/>
      </patternFill>
    </fill>
    <fill>
      <patternFill patternType="mediumGray">
        <fgColor indexed="13"/>
        <bgColor indexed="47"/>
      </patternFill>
    </fill>
    <fill>
      <patternFill patternType="mediumGray">
        <fgColor indexed="13"/>
        <bgColor indexed="42"/>
      </patternFill>
    </fill>
    <fill>
      <patternFill patternType="mediumGray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rgb="FFFFFF00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</fills>
  <borders count="2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4" fillId="0" borderId="0"/>
    <xf numFmtId="0" fontId="4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6" fillId="42" borderId="0">
      <alignment horizontal="left" vertical="top"/>
    </xf>
    <xf numFmtId="0" fontId="47" fillId="42" borderId="0">
      <alignment horizontal="center" vertical="top"/>
    </xf>
    <xf numFmtId="0" fontId="46" fillId="42" borderId="0">
      <alignment horizontal="left" vertical="top"/>
    </xf>
    <xf numFmtId="0" fontId="46" fillId="42" borderId="0">
      <alignment horizontal="left" vertical="top"/>
    </xf>
    <xf numFmtId="0" fontId="46" fillId="42" borderId="0">
      <alignment horizontal="right" vertical="top"/>
    </xf>
    <xf numFmtId="0" fontId="47" fillId="43" borderId="0">
      <alignment horizontal="left" vertical="top"/>
    </xf>
    <xf numFmtId="0" fontId="47" fillId="43" borderId="0">
      <alignment horizontal="right" vertical="top"/>
    </xf>
    <xf numFmtId="0" fontId="47" fillId="43" borderId="0">
      <alignment horizontal="right" vertical="top"/>
    </xf>
    <xf numFmtId="0" fontId="47" fillId="43" borderId="0">
      <alignment horizontal="right" vertical="top"/>
    </xf>
    <xf numFmtId="0" fontId="47" fillId="44" borderId="0">
      <alignment horizontal="left" vertical="top"/>
    </xf>
    <xf numFmtId="0" fontId="47" fillId="44" borderId="0">
      <alignment horizontal="right" vertical="top"/>
    </xf>
    <xf numFmtId="0" fontId="47" fillId="44" borderId="0">
      <alignment horizontal="right" vertical="top"/>
    </xf>
    <xf numFmtId="0" fontId="48" fillId="42" borderId="0">
      <alignment horizontal="center" vertical="top"/>
    </xf>
    <xf numFmtId="0" fontId="47" fillId="44" borderId="0">
      <alignment horizontal="right" vertical="top"/>
    </xf>
    <xf numFmtId="0" fontId="46" fillId="45" borderId="0">
      <alignment horizontal="left" vertical="top"/>
    </xf>
    <xf numFmtId="0" fontId="46" fillId="45" borderId="0">
      <alignment horizontal="right" vertical="top"/>
    </xf>
    <xf numFmtId="0" fontId="46" fillId="45" borderId="0">
      <alignment horizontal="right" vertical="top"/>
    </xf>
    <xf numFmtId="0" fontId="46" fillId="45" borderId="0">
      <alignment horizontal="right" vertical="top"/>
    </xf>
    <xf numFmtId="0" fontId="46" fillId="42" borderId="0">
      <alignment horizontal="left" vertical="top"/>
    </xf>
    <xf numFmtId="0" fontId="46" fillId="42" borderId="0">
      <alignment horizontal="right" vertical="top"/>
    </xf>
    <xf numFmtId="0" fontId="46" fillId="42" borderId="0">
      <alignment horizontal="right" vertical="top"/>
    </xf>
    <xf numFmtId="0" fontId="46" fillId="42" borderId="0">
      <alignment horizontal="right" vertical="top"/>
    </xf>
    <xf numFmtId="0" fontId="49" fillId="46" borderId="0">
      <alignment horizontal="left" vertical="top"/>
    </xf>
    <xf numFmtId="0" fontId="50" fillId="42" borderId="0">
      <alignment horizontal="left" vertical="top"/>
    </xf>
    <xf numFmtId="0" fontId="51" fillId="42" borderId="0">
      <alignment horizontal="left" vertical="top"/>
    </xf>
    <xf numFmtId="0" fontId="47" fillId="42" borderId="0">
      <alignment horizontal="right" vertical="top"/>
    </xf>
    <xf numFmtId="0" fontId="47" fillId="42" borderId="0">
      <alignment horizontal="right" vertical="top"/>
    </xf>
    <xf numFmtId="0" fontId="51" fillId="47" borderId="0">
      <alignment horizontal="left"/>
    </xf>
    <xf numFmtId="0" fontId="51" fillId="47" borderId="0">
      <alignment horizontal="left"/>
    </xf>
    <xf numFmtId="0" fontId="51" fillId="47" borderId="0">
      <alignment horizontal="right"/>
    </xf>
    <xf numFmtId="0" fontId="52" fillId="47" borderId="0">
      <alignment horizontal="right"/>
    </xf>
    <xf numFmtId="0" fontId="51" fillId="46" borderId="0">
      <alignment horizontal="left" vertical="top"/>
    </xf>
    <xf numFmtId="0" fontId="47" fillId="46" borderId="0">
      <alignment horizontal="right" vertical="top"/>
    </xf>
    <xf numFmtId="0" fontId="47" fillId="46" borderId="0">
      <alignment horizontal="right" vertical="top"/>
    </xf>
    <xf numFmtId="0" fontId="46" fillId="42" borderId="0">
      <alignment horizontal="left" vertical="center"/>
    </xf>
    <xf numFmtId="0" fontId="49" fillId="47" borderId="0">
      <alignment horizontal="left" vertical="top"/>
    </xf>
    <xf numFmtId="0" fontId="49" fillId="47" borderId="0">
      <alignment horizontal="left" vertical="top"/>
    </xf>
    <xf numFmtId="0" fontId="49" fillId="46" borderId="0">
      <alignment horizontal="left" vertical="top"/>
    </xf>
    <xf numFmtId="0" fontId="49" fillId="46" borderId="0">
      <alignment horizontal="left" vertical="top"/>
    </xf>
    <xf numFmtId="0" fontId="49" fillId="46" borderId="0">
      <alignment horizontal="left" vertical="top"/>
    </xf>
    <xf numFmtId="0" fontId="49" fillId="47" borderId="0">
      <alignment horizontal="left" vertical="top"/>
    </xf>
    <xf numFmtId="0" fontId="51" fillId="42" borderId="0">
      <alignment horizontal="left"/>
    </xf>
    <xf numFmtId="0" fontId="51" fillId="42" borderId="0">
      <alignment horizontal="left"/>
    </xf>
    <xf numFmtId="0" fontId="51" fillId="42" borderId="0">
      <alignment horizontal="right"/>
    </xf>
    <xf numFmtId="0" fontId="52" fillId="42" borderId="0">
      <alignment horizontal="right"/>
    </xf>
    <xf numFmtId="4" fontId="53" fillId="13" borderId="89" applyNumberFormat="0" applyProtection="0">
      <alignment vertical="center"/>
    </xf>
    <xf numFmtId="4" fontId="54" fillId="13" borderId="89" applyNumberFormat="0" applyProtection="0">
      <alignment vertical="center"/>
    </xf>
    <xf numFmtId="4" fontId="53" fillId="13" borderId="89" applyNumberFormat="0" applyProtection="0">
      <alignment horizontal="left" vertical="center" indent="1"/>
    </xf>
    <xf numFmtId="4" fontId="53" fillId="13" borderId="89" applyNumberFormat="0" applyProtection="0">
      <alignment horizontal="left" vertical="center" indent="1"/>
    </xf>
    <xf numFmtId="0" fontId="4" fillId="11" borderId="89" applyNumberFormat="0" applyProtection="0">
      <alignment horizontal="left" vertical="center" indent="1"/>
    </xf>
    <xf numFmtId="4" fontId="53" fillId="35" borderId="89" applyNumberFormat="0" applyProtection="0">
      <alignment horizontal="right" vertical="center"/>
    </xf>
    <xf numFmtId="4" fontId="53" fillId="48" borderId="89" applyNumberFormat="0" applyProtection="0">
      <alignment horizontal="right" vertical="center"/>
    </xf>
    <xf numFmtId="4" fontId="53" fillId="49" borderId="89" applyNumberFormat="0" applyProtection="0">
      <alignment horizontal="right" vertical="center"/>
    </xf>
    <xf numFmtId="4" fontId="53" fillId="12" borderId="89" applyNumberFormat="0" applyProtection="0">
      <alignment horizontal="right" vertical="center"/>
    </xf>
    <xf numFmtId="4" fontId="53" fillId="50" borderId="89" applyNumberFormat="0" applyProtection="0">
      <alignment horizontal="right" vertical="center"/>
    </xf>
    <xf numFmtId="4" fontId="53" fillId="15" borderId="89" applyNumberFormat="0" applyProtection="0">
      <alignment horizontal="right" vertical="center"/>
    </xf>
    <xf numFmtId="4" fontId="53" fillId="17" borderId="89" applyNumberFormat="0" applyProtection="0">
      <alignment horizontal="right" vertical="center"/>
    </xf>
    <xf numFmtId="4" fontId="53" fillId="16" borderId="89" applyNumberFormat="0" applyProtection="0">
      <alignment horizontal="right" vertical="center"/>
    </xf>
    <xf numFmtId="4" fontId="53" fillId="19" borderId="89" applyNumberFormat="0" applyProtection="0">
      <alignment horizontal="right" vertical="center"/>
    </xf>
    <xf numFmtId="4" fontId="55" fillId="51" borderId="89" applyNumberFormat="0" applyProtection="0">
      <alignment horizontal="left" vertical="center" indent="1"/>
    </xf>
    <xf numFmtId="4" fontId="53" fillId="52" borderId="90" applyNumberFormat="0" applyProtection="0">
      <alignment horizontal="left" vertical="center" indent="1"/>
    </xf>
    <xf numFmtId="4" fontId="56" fillId="53" borderId="0" applyNumberFormat="0" applyProtection="0">
      <alignment horizontal="left" vertical="center" indent="1"/>
    </xf>
    <xf numFmtId="0" fontId="4" fillId="11" borderId="89" applyNumberFormat="0" applyProtection="0">
      <alignment horizontal="left" vertical="center" indent="1"/>
    </xf>
    <xf numFmtId="4" fontId="5" fillId="52" borderId="89" applyNumberFormat="0" applyProtection="0">
      <alignment horizontal="left" vertical="center" indent="1"/>
    </xf>
    <xf numFmtId="4" fontId="5" fillId="54" borderId="89" applyNumberFormat="0" applyProtection="0">
      <alignment horizontal="left" vertical="center" indent="1"/>
    </xf>
    <xf numFmtId="0" fontId="4" fillId="54" borderId="89" applyNumberFormat="0" applyProtection="0">
      <alignment horizontal="left" vertical="center" indent="1"/>
    </xf>
    <xf numFmtId="0" fontId="4" fillId="54" borderId="89" applyNumberFormat="0" applyProtection="0">
      <alignment horizontal="left" vertical="center" indent="1"/>
    </xf>
    <xf numFmtId="0" fontId="4" fillId="30" borderId="89" applyNumberFormat="0" applyProtection="0">
      <alignment horizontal="left" vertical="center" indent="1"/>
    </xf>
    <xf numFmtId="0" fontId="4" fillId="30" borderId="89" applyNumberFormat="0" applyProtection="0">
      <alignment horizontal="left" vertical="center" indent="1"/>
    </xf>
    <xf numFmtId="0" fontId="4" fillId="33" borderId="89" applyNumberFormat="0" applyProtection="0">
      <alignment horizontal="left" vertical="center" indent="1"/>
    </xf>
    <xf numFmtId="0" fontId="4" fillId="33" borderId="89" applyNumberFormat="0" applyProtection="0">
      <alignment horizontal="left" vertical="center" indent="1"/>
    </xf>
    <xf numFmtId="0" fontId="4" fillId="11" borderId="89" applyNumberFormat="0" applyProtection="0">
      <alignment horizontal="left" vertical="center" indent="1"/>
    </xf>
    <xf numFmtId="0" fontId="4" fillId="11" borderId="89" applyNumberFormat="0" applyProtection="0">
      <alignment horizontal="left" vertical="center" indent="1"/>
    </xf>
    <xf numFmtId="4" fontId="53" fillId="20" borderId="89" applyNumberFormat="0" applyProtection="0">
      <alignment vertical="center"/>
    </xf>
    <xf numFmtId="4" fontId="54" fillId="20" borderId="89" applyNumberFormat="0" applyProtection="0">
      <alignment vertical="center"/>
    </xf>
    <xf numFmtId="4" fontId="53" fillId="20" borderId="89" applyNumberFormat="0" applyProtection="0">
      <alignment horizontal="left" vertical="center" indent="1"/>
    </xf>
    <xf numFmtId="4" fontId="53" fillId="20" borderId="89" applyNumberFormat="0" applyProtection="0">
      <alignment horizontal="left" vertical="center" indent="1"/>
    </xf>
    <xf numFmtId="4" fontId="53" fillId="52" borderId="89" applyNumberFormat="0" applyProtection="0">
      <alignment horizontal="right" vertical="center"/>
    </xf>
    <xf numFmtId="4" fontId="54" fillId="52" borderId="89" applyNumberFormat="0" applyProtection="0">
      <alignment horizontal="right" vertical="center"/>
    </xf>
    <xf numFmtId="0" fontId="4" fillId="11" borderId="89" applyNumberFormat="0" applyProtection="0">
      <alignment horizontal="left" vertical="center" indent="1"/>
    </xf>
    <xf numFmtId="0" fontId="4" fillId="11" borderId="89" applyNumberFormat="0" applyProtection="0">
      <alignment horizontal="left" vertical="center" indent="1"/>
    </xf>
    <xf numFmtId="0" fontId="57" fillId="0" borderId="0"/>
    <xf numFmtId="4" fontId="58" fillId="52" borderId="89" applyNumberFormat="0" applyProtection="0">
      <alignment horizontal="right" vertical="center"/>
    </xf>
    <xf numFmtId="44" fontId="45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" fillId="0" borderId="0"/>
    <xf numFmtId="4" fontId="53" fillId="13" borderId="100" applyNumberFormat="0" applyProtection="0">
      <alignment vertical="center"/>
    </xf>
    <xf numFmtId="4" fontId="54" fillId="13" borderId="100" applyNumberFormat="0" applyProtection="0">
      <alignment vertical="center"/>
    </xf>
    <xf numFmtId="4" fontId="53" fillId="13" borderId="100" applyNumberFormat="0" applyProtection="0">
      <alignment horizontal="left" vertical="center" indent="1"/>
    </xf>
    <xf numFmtId="4" fontId="53" fillId="13" borderId="100" applyNumberFormat="0" applyProtection="0">
      <alignment horizontal="left" vertical="center" indent="1"/>
    </xf>
    <xf numFmtId="0" fontId="4" fillId="11" borderId="100" applyNumberFormat="0" applyProtection="0">
      <alignment horizontal="left" vertical="center" indent="1"/>
    </xf>
    <xf numFmtId="4" fontId="53" fillId="35" borderId="100" applyNumberFormat="0" applyProtection="0">
      <alignment horizontal="right" vertical="center"/>
    </xf>
    <xf numFmtId="4" fontId="53" fillId="48" borderId="100" applyNumberFormat="0" applyProtection="0">
      <alignment horizontal="right" vertical="center"/>
    </xf>
    <xf numFmtId="4" fontId="53" fillId="49" borderId="100" applyNumberFormat="0" applyProtection="0">
      <alignment horizontal="right" vertical="center"/>
    </xf>
    <xf numFmtId="4" fontId="53" fillId="12" borderId="100" applyNumberFormat="0" applyProtection="0">
      <alignment horizontal="right" vertical="center"/>
    </xf>
    <xf numFmtId="4" fontId="53" fillId="50" borderId="100" applyNumberFormat="0" applyProtection="0">
      <alignment horizontal="right" vertical="center"/>
    </xf>
    <xf numFmtId="4" fontId="53" fillId="15" borderId="100" applyNumberFormat="0" applyProtection="0">
      <alignment horizontal="right" vertical="center"/>
    </xf>
    <xf numFmtId="4" fontId="53" fillId="17" borderId="100" applyNumberFormat="0" applyProtection="0">
      <alignment horizontal="right" vertical="center"/>
    </xf>
    <xf numFmtId="4" fontId="53" fillId="16" borderId="100" applyNumberFormat="0" applyProtection="0">
      <alignment horizontal="right" vertical="center"/>
    </xf>
    <xf numFmtId="4" fontId="53" fillId="19" borderId="100" applyNumberFormat="0" applyProtection="0">
      <alignment horizontal="right" vertical="center"/>
    </xf>
    <xf numFmtId="4" fontId="55" fillId="51" borderId="100" applyNumberFormat="0" applyProtection="0">
      <alignment horizontal="left" vertical="center" indent="1"/>
    </xf>
    <xf numFmtId="4" fontId="53" fillId="52" borderId="101" applyNumberFormat="0" applyProtection="0">
      <alignment horizontal="left" vertical="center" indent="1"/>
    </xf>
    <xf numFmtId="0" fontId="4" fillId="11" borderId="100" applyNumberFormat="0" applyProtection="0">
      <alignment horizontal="left" vertical="center" indent="1"/>
    </xf>
    <xf numFmtId="4" fontId="5" fillId="52" borderId="100" applyNumberFormat="0" applyProtection="0">
      <alignment horizontal="left" vertical="center" indent="1"/>
    </xf>
    <xf numFmtId="4" fontId="5" fillId="54" borderId="100" applyNumberFormat="0" applyProtection="0">
      <alignment horizontal="left" vertical="center" indent="1"/>
    </xf>
    <xf numFmtId="0" fontId="4" fillId="54" borderId="100" applyNumberFormat="0" applyProtection="0">
      <alignment horizontal="left" vertical="center" indent="1"/>
    </xf>
    <xf numFmtId="0" fontId="4" fillId="54" borderId="100" applyNumberFormat="0" applyProtection="0">
      <alignment horizontal="left" vertical="center" indent="1"/>
    </xf>
    <xf numFmtId="0" fontId="4" fillId="30" borderId="100" applyNumberFormat="0" applyProtection="0">
      <alignment horizontal="left" vertical="center" indent="1"/>
    </xf>
    <xf numFmtId="0" fontId="4" fillId="30" borderId="100" applyNumberFormat="0" applyProtection="0">
      <alignment horizontal="left" vertical="center" indent="1"/>
    </xf>
    <xf numFmtId="0" fontId="4" fillId="33" borderId="100" applyNumberFormat="0" applyProtection="0">
      <alignment horizontal="left" vertical="center" indent="1"/>
    </xf>
    <xf numFmtId="0" fontId="4" fillId="33" borderId="100" applyNumberFormat="0" applyProtection="0">
      <alignment horizontal="left" vertical="center" indent="1"/>
    </xf>
    <xf numFmtId="0" fontId="4" fillId="11" borderId="100" applyNumberFormat="0" applyProtection="0">
      <alignment horizontal="left" vertical="center" indent="1"/>
    </xf>
    <xf numFmtId="0" fontId="4" fillId="11" borderId="100" applyNumberFormat="0" applyProtection="0">
      <alignment horizontal="left" vertical="center" indent="1"/>
    </xf>
    <xf numFmtId="4" fontId="53" fillId="20" borderId="100" applyNumberFormat="0" applyProtection="0">
      <alignment vertical="center"/>
    </xf>
    <xf numFmtId="4" fontId="54" fillId="20" borderId="100" applyNumberFormat="0" applyProtection="0">
      <alignment vertical="center"/>
    </xf>
    <xf numFmtId="4" fontId="53" fillId="20" borderId="100" applyNumberFormat="0" applyProtection="0">
      <alignment horizontal="left" vertical="center" indent="1"/>
    </xf>
    <xf numFmtId="4" fontId="53" fillId="20" borderId="100" applyNumberFormat="0" applyProtection="0">
      <alignment horizontal="left" vertical="center" indent="1"/>
    </xf>
    <xf numFmtId="4" fontId="53" fillId="52" borderId="100" applyNumberFormat="0" applyProtection="0">
      <alignment horizontal="right" vertical="center"/>
    </xf>
    <xf numFmtId="4" fontId="54" fillId="52" borderId="100" applyNumberFormat="0" applyProtection="0">
      <alignment horizontal="right" vertical="center"/>
    </xf>
    <xf numFmtId="0" fontId="4" fillId="11" borderId="100" applyNumberFormat="0" applyProtection="0">
      <alignment horizontal="left" vertical="center" indent="1"/>
    </xf>
    <xf numFmtId="0" fontId="4" fillId="11" borderId="100" applyNumberFormat="0" applyProtection="0">
      <alignment horizontal="left" vertical="center" indent="1"/>
    </xf>
    <xf numFmtId="4" fontId="58" fillId="52" borderId="100" applyNumberFormat="0" applyProtection="0">
      <alignment horizontal="right" vertical="center"/>
    </xf>
    <xf numFmtId="0" fontId="4" fillId="0" borderId="0"/>
    <xf numFmtId="4" fontId="53" fillId="13" borderId="155" applyNumberFormat="0" applyProtection="0">
      <alignment horizontal="left" vertical="center" indent="1"/>
    </xf>
    <xf numFmtId="4" fontId="53" fillId="12" borderId="164" applyNumberFormat="0" applyProtection="0">
      <alignment horizontal="right" vertical="center"/>
    </xf>
    <xf numFmtId="4" fontId="53" fillId="13" borderId="155" applyNumberFormat="0" applyProtection="0">
      <alignment horizontal="left" vertical="center" indent="1"/>
    </xf>
    <xf numFmtId="4" fontId="54" fillId="13" borderId="155" applyNumberFormat="0" applyProtection="0">
      <alignment vertical="center"/>
    </xf>
    <xf numFmtId="4" fontId="53" fillId="13" borderId="155" applyNumberFormat="0" applyProtection="0">
      <alignment vertical="center"/>
    </xf>
    <xf numFmtId="4" fontId="53" fillId="17" borderId="164" applyNumberFormat="0" applyProtection="0">
      <alignment horizontal="right" vertical="center"/>
    </xf>
    <xf numFmtId="4" fontId="55" fillId="51" borderId="164" applyNumberFormat="0" applyProtection="0">
      <alignment horizontal="left" vertical="center" indent="1"/>
    </xf>
    <xf numFmtId="0" fontId="2" fillId="0" borderId="0"/>
    <xf numFmtId="4" fontId="53" fillId="13" borderId="163" applyNumberFormat="0" applyProtection="0">
      <alignment vertical="center"/>
    </xf>
    <xf numFmtId="4" fontId="54" fillId="13" borderId="163" applyNumberFormat="0" applyProtection="0">
      <alignment vertical="center"/>
    </xf>
    <xf numFmtId="4" fontId="53" fillId="13" borderId="163" applyNumberFormat="0" applyProtection="0">
      <alignment horizontal="left" vertical="center" indent="1"/>
    </xf>
    <xf numFmtId="4" fontId="53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3" fillId="35" borderId="163" applyNumberFormat="0" applyProtection="0">
      <alignment horizontal="right" vertical="center"/>
    </xf>
    <xf numFmtId="4" fontId="53" fillId="48" borderId="163" applyNumberFormat="0" applyProtection="0">
      <alignment horizontal="right" vertical="center"/>
    </xf>
    <xf numFmtId="4" fontId="53" fillId="49" borderId="163" applyNumberFormat="0" applyProtection="0">
      <alignment horizontal="right" vertical="center"/>
    </xf>
    <xf numFmtId="4" fontId="53" fillId="12" borderId="163" applyNumberFormat="0" applyProtection="0">
      <alignment horizontal="right" vertical="center"/>
    </xf>
    <xf numFmtId="4" fontId="53" fillId="50" borderId="163" applyNumberFormat="0" applyProtection="0">
      <alignment horizontal="right" vertical="center"/>
    </xf>
    <xf numFmtId="4" fontId="53" fillId="15" borderId="163" applyNumberFormat="0" applyProtection="0">
      <alignment horizontal="right" vertical="center"/>
    </xf>
    <xf numFmtId="4" fontId="53" fillId="17" borderId="163" applyNumberFormat="0" applyProtection="0">
      <alignment horizontal="right" vertical="center"/>
    </xf>
    <xf numFmtId="4" fontId="53" fillId="16" borderId="163" applyNumberFormat="0" applyProtection="0">
      <alignment horizontal="right" vertical="center"/>
    </xf>
    <xf numFmtId="4" fontId="53" fillId="19" borderId="163" applyNumberFormat="0" applyProtection="0">
      <alignment horizontal="right" vertical="center"/>
    </xf>
    <xf numFmtId="4" fontId="55" fillId="51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3" fillId="20" borderId="163" applyNumberFormat="0" applyProtection="0">
      <alignment vertical="center"/>
    </xf>
    <xf numFmtId="4" fontId="54" fillId="20" borderId="163" applyNumberFormat="0" applyProtection="0">
      <alignment vertical="center"/>
    </xf>
    <xf numFmtId="4" fontId="53" fillId="20" borderId="163" applyNumberFormat="0" applyProtection="0">
      <alignment horizontal="left" vertical="center" indent="1"/>
    </xf>
    <xf numFmtId="4" fontId="53" fillId="20" borderId="163" applyNumberFormat="0" applyProtection="0">
      <alignment horizontal="left" vertical="center" indent="1"/>
    </xf>
    <xf numFmtId="4" fontId="53" fillId="52" borderId="163" applyNumberFormat="0" applyProtection="0">
      <alignment horizontal="right" vertical="center"/>
    </xf>
    <xf numFmtId="4" fontId="54" fillId="52" borderId="163" applyNumberFormat="0" applyProtection="0">
      <alignment horizontal="right" vertical="center"/>
    </xf>
    <xf numFmtId="4" fontId="53" fillId="13" borderId="169" applyNumberFormat="0" applyProtection="0">
      <alignment vertical="center"/>
    </xf>
    <xf numFmtId="4" fontId="58" fillId="52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52" borderId="163" applyNumberFormat="0" applyProtection="0">
      <alignment horizontal="left" vertical="center" indent="1"/>
    </xf>
    <xf numFmtId="0" fontId="4" fillId="54" borderId="163" applyNumberFormat="0" applyProtection="0">
      <alignment horizontal="left" vertical="center" indent="1"/>
    </xf>
    <xf numFmtId="4" fontId="53" fillId="13" borderId="151" applyNumberFormat="0" applyProtection="0">
      <alignment vertical="center"/>
    </xf>
    <xf numFmtId="4" fontId="54" fillId="13" borderId="151" applyNumberFormat="0" applyProtection="0">
      <alignment vertical="center"/>
    </xf>
    <xf numFmtId="4" fontId="53" fillId="13" borderId="151" applyNumberFormat="0" applyProtection="0">
      <alignment horizontal="left" vertical="center" indent="1"/>
    </xf>
    <xf numFmtId="4" fontId="53" fillId="1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3" fillId="35" borderId="151" applyNumberFormat="0" applyProtection="0">
      <alignment horizontal="right" vertical="center"/>
    </xf>
    <xf numFmtId="4" fontId="53" fillId="48" borderId="151" applyNumberFormat="0" applyProtection="0">
      <alignment horizontal="right" vertical="center"/>
    </xf>
    <xf numFmtId="4" fontId="53" fillId="49" borderId="151" applyNumberFormat="0" applyProtection="0">
      <alignment horizontal="right" vertical="center"/>
    </xf>
    <xf numFmtId="4" fontId="53" fillId="12" borderId="151" applyNumberFormat="0" applyProtection="0">
      <alignment horizontal="right" vertical="center"/>
    </xf>
    <xf numFmtId="4" fontId="53" fillId="50" borderId="151" applyNumberFormat="0" applyProtection="0">
      <alignment horizontal="right" vertical="center"/>
    </xf>
    <xf numFmtId="4" fontId="53" fillId="15" borderId="151" applyNumberFormat="0" applyProtection="0">
      <alignment horizontal="right" vertical="center"/>
    </xf>
    <xf numFmtId="4" fontId="53" fillId="17" borderId="151" applyNumberFormat="0" applyProtection="0">
      <alignment horizontal="right" vertical="center"/>
    </xf>
    <xf numFmtId="4" fontId="53" fillId="16" borderId="151" applyNumberFormat="0" applyProtection="0">
      <alignment horizontal="right" vertical="center"/>
    </xf>
    <xf numFmtId="4" fontId="53" fillId="19" borderId="151" applyNumberFormat="0" applyProtection="0">
      <alignment horizontal="right" vertical="center"/>
    </xf>
    <xf numFmtId="4" fontId="55" fillId="51" borderId="151" applyNumberFormat="0" applyProtection="0">
      <alignment horizontal="left" vertical="center" indent="1"/>
    </xf>
    <xf numFmtId="4" fontId="53" fillId="52" borderId="152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2" borderId="151" applyNumberFormat="0" applyProtection="0">
      <alignment horizontal="left" vertical="center" indent="1"/>
    </xf>
    <xf numFmtId="4" fontId="5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3" fillId="20" borderId="151" applyNumberFormat="0" applyProtection="0">
      <alignment vertical="center"/>
    </xf>
    <xf numFmtId="4" fontId="54" fillId="20" borderId="151" applyNumberFormat="0" applyProtection="0">
      <alignment vertical="center"/>
    </xf>
    <xf numFmtId="4" fontId="53" fillId="20" borderId="151" applyNumberFormat="0" applyProtection="0">
      <alignment horizontal="left" vertical="center" indent="1"/>
    </xf>
    <xf numFmtId="4" fontId="53" fillId="20" borderId="151" applyNumberFormat="0" applyProtection="0">
      <alignment horizontal="left" vertical="center" indent="1"/>
    </xf>
    <xf numFmtId="4" fontId="53" fillId="52" borderId="151" applyNumberFormat="0" applyProtection="0">
      <alignment horizontal="right" vertical="center"/>
    </xf>
    <xf numFmtId="4" fontId="54" fillId="52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8" fillId="52" borderId="151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0" borderId="0"/>
    <xf numFmtId="4" fontId="53" fillId="13" borderId="153" applyNumberFormat="0" applyProtection="0">
      <alignment vertical="center"/>
    </xf>
    <xf numFmtId="4" fontId="54" fillId="13" borderId="153" applyNumberFormat="0" applyProtection="0">
      <alignment vertical="center"/>
    </xf>
    <xf numFmtId="4" fontId="53" fillId="13" borderId="153" applyNumberFormat="0" applyProtection="0">
      <alignment horizontal="left" vertical="center" indent="1"/>
    </xf>
    <xf numFmtId="4" fontId="53" fillId="13" borderId="153" applyNumberFormat="0" applyProtection="0">
      <alignment horizontal="left" vertical="center" indent="1"/>
    </xf>
    <xf numFmtId="0" fontId="4" fillId="11" borderId="153" applyNumberFormat="0" applyProtection="0">
      <alignment horizontal="left" vertical="center" indent="1"/>
    </xf>
    <xf numFmtId="4" fontId="53" fillId="35" borderId="153" applyNumberFormat="0" applyProtection="0">
      <alignment horizontal="right" vertical="center"/>
    </xf>
    <xf numFmtId="4" fontId="53" fillId="48" borderId="153" applyNumberFormat="0" applyProtection="0">
      <alignment horizontal="right" vertical="center"/>
    </xf>
    <xf numFmtId="4" fontId="53" fillId="49" borderId="153" applyNumberFormat="0" applyProtection="0">
      <alignment horizontal="right" vertical="center"/>
    </xf>
    <xf numFmtId="4" fontId="53" fillId="12" borderId="153" applyNumberFormat="0" applyProtection="0">
      <alignment horizontal="right" vertical="center"/>
    </xf>
    <xf numFmtId="4" fontId="53" fillId="50" borderId="153" applyNumberFormat="0" applyProtection="0">
      <alignment horizontal="right" vertical="center"/>
    </xf>
    <xf numFmtId="4" fontId="53" fillId="15" borderId="153" applyNumberFormat="0" applyProtection="0">
      <alignment horizontal="right" vertical="center"/>
    </xf>
    <xf numFmtId="4" fontId="53" fillId="17" borderId="153" applyNumberFormat="0" applyProtection="0">
      <alignment horizontal="right" vertical="center"/>
    </xf>
    <xf numFmtId="4" fontId="53" fillId="16" borderId="153" applyNumberFormat="0" applyProtection="0">
      <alignment horizontal="right" vertical="center"/>
    </xf>
    <xf numFmtId="4" fontId="53" fillId="19" borderId="153" applyNumberFormat="0" applyProtection="0">
      <alignment horizontal="right" vertical="center"/>
    </xf>
    <xf numFmtId="4" fontId="55" fillId="51" borderId="153" applyNumberFormat="0" applyProtection="0">
      <alignment horizontal="left" vertical="center" indent="1"/>
    </xf>
    <xf numFmtId="4" fontId="53" fillId="52" borderId="154" applyNumberFormat="0" applyProtection="0">
      <alignment horizontal="left" vertical="center" indent="1"/>
    </xf>
    <xf numFmtId="0" fontId="4" fillId="11" borderId="153" applyNumberFormat="0" applyProtection="0">
      <alignment horizontal="left" vertical="center" indent="1"/>
    </xf>
    <xf numFmtId="4" fontId="5" fillId="52" borderId="153" applyNumberFormat="0" applyProtection="0">
      <alignment horizontal="left" vertical="center" indent="1"/>
    </xf>
    <xf numFmtId="4" fontId="5" fillId="54" borderId="153" applyNumberFormat="0" applyProtection="0">
      <alignment horizontal="left" vertical="center" indent="1"/>
    </xf>
    <xf numFmtId="0" fontId="4" fillId="54" borderId="153" applyNumberFormat="0" applyProtection="0">
      <alignment horizontal="left" vertical="center" indent="1"/>
    </xf>
    <xf numFmtId="0" fontId="4" fillId="54" borderId="153" applyNumberFormat="0" applyProtection="0">
      <alignment horizontal="left" vertical="center" indent="1"/>
    </xf>
    <xf numFmtId="0" fontId="4" fillId="30" borderId="153" applyNumberFormat="0" applyProtection="0">
      <alignment horizontal="left" vertical="center" indent="1"/>
    </xf>
    <xf numFmtId="0" fontId="4" fillId="30" borderId="153" applyNumberFormat="0" applyProtection="0">
      <alignment horizontal="left" vertical="center" indent="1"/>
    </xf>
    <xf numFmtId="0" fontId="4" fillId="33" borderId="153" applyNumberFormat="0" applyProtection="0">
      <alignment horizontal="left" vertical="center" indent="1"/>
    </xf>
    <xf numFmtId="0" fontId="4" fillId="33" borderId="153" applyNumberFormat="0" applyProtection="0">
      <alignment horizontal="left" vertical="center" indent="1"/>
    </xf>
    <xf numFmtId="0" fontId="4" fillId="11" borderId="153" applyNumberFormat="0" applyProtection="0">
      <alignment horizontal="left" vertical="center" indent="1"/>
    </xf>
    <xf numFmtId="0" fontId="4" fillId="11" borderId="153" applyNumberFormat="0" applyProtection="0">
      <alignment horizontal="left" vertical="center" indent="1"/>
    </xf>
    <xf numFmtId="4" fontId="53" fillId="20" borderId="153" applyNumberFormat="0" applyProtection="0">
      <alignment vertical="center"/>
    </xf>
    <xf numFmtId="4" fontId="54" fillId="20" borderId="153" applyNumberFormat="0" applyProtection="0">
      <alignment vertical="center"/>
    </xf>
    <xf numFmtId="4" fontId="53" fillId="20" borderId="153" applyNumberFormat="0" applyProtection="0">
      <alignment horizontal="left" vertical="center" indent="1"/>
    </xf>
    <xf numFmtId="4" fontId="53" fillId="20" borderId="153" applyNumberFormat="0" applyProtection="0">
      <alignment horizontal="left" vertical="center" indent="1"/>
    </xf>
    <xf numFmtId="4" fontId="53" fillId="52" borderId="153" applyNumberFormat="0" applyProtection="0">
      <alignment horizontal="right" vertical="center"/>
    </xf>
    <xf numFmtId="4" fontId="54" fillId="52" borderId="153" applyNumberFormat="0" applyProtection="0">
      <alignment horizontal="right" vertical="center"/>
    </xf>
    <xf numFmtId="0" fontId="4" fillId="11" borderId="153" applyNumberFormat="0" applyProtection="0">
      <alignment horizontal="left" vertical="center" indent="1"/>
    </xf>
    <xf numFmtId="0" fontId="4" fillId="11" borderId="153" applyNumberFormat="0" applyProtection="0">
      <alignment horizontal="left" vertical="center" indent="1"/>
    </xf>
    <xf numFmtId="4" fontId="58" fillId="52" borderId="153" applyNumberFormat="0" applyProtection="0">
      <alignment horizontal="right" vertical="center"/>
    </xf>
    <xf numFmtId="0" fontId="4" fillId="11" borderId="155" applyNumberFormat="0" applyProtection="0">
      <alignment horizontal="left" vertical="center" indent="1"/>
    </xf>
    <xf numFmtId="4" fontId="53" fillId="35" borderId="155" applyNumberFormat="0" applyProtection="0">
      <alignment horizontal="right" vertical="center"/>
    </xf>
    <xf numFmtId="4" fontId="53" fillId="48" borderId="155" applyNumberFormat="0" applyProtection="0">
      <alignment horizontal="right" vertical="center"/>
    </xf>
    <xf numFmtId="4" fontId="53" fillId="49" borderId="155" applyNumberFormat="0" applyProtection="0">
      <alignment horizontal="right" vertical="center"/>
    </xf>
    <xf numFmtId="4" fontId="53" fillId="12" borderId="155" applyNumberFormat="0" applyProtection="0">
      <alignment horizontal="right" vertical="center"/>
    </xf>
    <xf numFmtId="4" fontId="53" fillId="50" borderId="155" applyNumberFormat="0" applyProtection="0">
      <alignment horizontal="right" vertical="center"/>
    </xf>
    <xf numFmtId="4" fontId="53" fillId="15" borderId="155" applyNumberFormat="0" applyProtection="0">
      <alignment horizontal="right" vertical="center"/>
    </xf>
    <xf numFmtId="4" fontId="53" fillId="17" borderId="155" applyNumberFormat="0" applyProtection="0">
      <alignment horizontal="right" vertical="center"/>
    </xf>
    <xf numFmtId="4" fontId="53" fillId="16" borderId="155" applyNumberFormat="0" applyProtection="0">
      <alignment horizontal="right" vertical="center"/>
    </xf>
    <xf numFmtId="4" fontId="53" fillId="19" borderId="155" applyNumberFormat="0" applyProtection="0">
      <alignment horizontal="right" vertical="center"/>
    </xf>
    <xf numFmtId="4" fontId="55" fillId="51" borderId="155" applyNumberFormat="0" applyProtection="0">
      <alignment horizontal="left" vertical="center" indent="1"/>
    </xf>
    <xf numFmtId="4" fontId="53" fillId="52" borderId="156" applyNumberFormat="0" applyProtection="0">
      <alignment horizontal="left" vertical="center" indent="1"/>
    </xf>
    <xf numFmtId="4" fontId="53" fillId="52" borderId="161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" fillId="52" borderId="155" applyNumberFormat="0" applyProtection="0">
      <alignment horizontal="left" vertical="center" indent="1"/>
    </xf>
    <xf numFmtId="4" fontId="5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3" fillId="20" borderId="155" applyNumberFormat="0" applyProtection="0">
      <alignment vertical="center"/>
    </xf>
    <xf numFmtId="4" fontId="54" fillId="20" borderId="155" applyNumberFormat="0" applyProtection="0">
      <alignment vertical="center"/>
    </xf>
    <xf numFmtId="4" fontId="53" fillId="20" borderId="155" applyNumberFormat="0" applyProtection="0">
      <alignment horizontal="left" vertical="center" indent="1"/>
    </xf>
    <xf numFmtId="4" fontId="53" fillId="20" borderId="155" applyNumberFormat="0" applyProtection="0">
      <alignment horizontal="left" vertical="center" indent="1"/>
    </xf>
    <xf numFmtId="4" fontId="53" fillId="52" borderId="155" applyNumberFormat="0" applyProtection="0">
      <alignment horizontal="right" vertical="center"/>
    </xf>
    <xf numFmtId="4" fontId="54" fillId="52" borderId="155" applyNumberFormat="0" applyProtection="0">
      <alignment horizontal="right" vertical="center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" fillId="54" borderId="164" applyNumberFormat="0" applyProtection="0">
      <alignment horizontal="left" vertical="center" indent="1"/>
    </xf>
    <xf numFmtId="4" fontId="58" fillId="52" borderId="155" applyNumberFormat="0" applyProtection="0">
      <alignment horizontal="right" vertical="center"/>
    </xf>
    <xf numFmtId="0" fontId="4" fillId="30" borderId="163" applyNumberFormat="0" applyProtection="0">
      <alignment horizontal="left" vertical="center" indent="1"/>
    </xf>
    <xf numFmtId="4" fontId="5" fillId="54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3" fillId="13" borderId="155" applyNumberFormat="0" applyProtection="0">
      <alignment vertical="center"/>
    </xf>
    <xf numFmtId="4" fontId="54" fillId="13" borderId="155" applyNumberFormat="0" applyProtection="0">
      <alignment vertical="center"/>
    </xf>
    <xf numFmtId="4" fontId="53" fillId="13" borderId="155" applyNumberFormat="0" applyProtection="0">
      <alignment horizontal="left" vertical="center" indent="1"/>
    </xf>
    <xf numFmtId="4" fontId="53" fillId="1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3" fillId="35" borderId="155" applyNumberFormat="0" applyProtection="0">
      <alignment horizontal="right" vertical="center"/>
    </xf>
    <xf numFmtId="4" fontId="53" fillId="48" borderId="155" applyNumberFormat="0" applyProtection="0">
      <alignment horizontal="right" vertical="center"/>
    </xf>
    <xf numFmtId="4" fontId="53" fillId="49" borderId="155" applyNumberFormat="0" applyProtection="0">
      <alignment horizontal="right" vertical="center"/>
    </xf>
    <xf numFmtId="4" fontId="53" fillId="12" borderId="155" applyNumberFormat="0" applyProtection="0">
      <alignment horizontal="right" vertical="center"/>
    </xf>
    <xf numFmtId="4" fontId="53" fillId="50" borderId="155" applyNumberFormat="0" applyProtection="0">
      <alignment horizontal="right" vertical="center"/>
    </xf>
    <xf numFmtId="4" fontId="53" fillId="15" borderId="155" applyNumberFormat="0" applyProtection="0">
      <alignment horizontal="right" vertical="center"/>
    </xf>
    <xf numFmtId="4" fontId="53" fillId="17" borderId="155" applyNumberFormat="0" applyProtection="0">
      <alignment horizontal="right" vertical="center"/>
    </xf>
    <xf numFmtId="4" fontId="53" fillId="16" borderId="155" applyNumberFormat="0" applyProtection="0">
      <alignment horizontal="right" vertical="center"/>
    </xf>
    <xf numFmtId="4" fontId="53" fillId="19" borderId="155" applyNumberFormat="0" applyProtection="0">
      <alignment horizontal="right" vertical="center"/>
    </xf>
    <xf numFmtId="4" fontId="55" fillId="51" borderId="155" applyNumberFormat="0" applyProtection="0">
      <alignment horizontal="left" vertical="center" indent="1"/>
    </xf>
    <xf numFmtId="4" fontId="53" fillId="52" borderId="157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" fillId="52" borderId="155" applyNumberFormat="0" applyProtection="0">
      <alignment horizontal="left" vertical="center" indent="1"/>
    </xf>
    <xf numFmtId="4" fontId="5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3" fillId="20" borderId="155" applyNumberFormat="0" applyProtection="0">
      <alignment vertical="center"/>
    </xf>
    <xf numFmtId="4" fontId="54" fillId="20" borderId="155" applyNumberFormat="0" applyProtection="0">
      <alignment vertical="center"/>
    </xf>
    <xf numFmtId="4" fontId="53" fillId="20" borderId="155" applyNumberFormat="0" applyProtection="0">
      <alignment horizontal="left" vertical="center" indent="1"/>
    </xf>
    <xf numFmtId="4" fontId="53" fillId="20" borderId="155" applyNumberFormat="0" applyProtection="0">
      <alignment horizontal="left" vertical="center" indent="1"/>
    </xf>
    <xf numFmtId="4" fontId="53" fillId="52" borderId="155" applyNumberFormat="0" applyProtection="0">
      <alignment horizontal="right" vertical="center"/>
    </xf>
    <xf numFmtId="4" fontId="54" fillId="52" borderId="155" applyNumberFormat="0" applyProtection="0">
      <alignment horizontal="right" vertical="center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8" fillId="52" borderId="155" applyNumberFormat="0" applyProtection="0">
      <alignment horizontal="right" vertical="center"/>
    </xf>
    <xf numFmtId="0" fontId="4" fillId="54" borderId="163" applyNumberFormat="0" applyProtection="0">
      <alignment horizontal="left" vertical="center" indent="1"/>
    </xf>
    <xf numFmtId="4" fontId="53" fillId="13" borderId="164" applyNumberFormat="0" applyProtection="0">
      <alignment vertical="center"/>
    </xf>
    <xf numFmtId="4" fontId="54" fillId="13" borderId="164" applyNumberFormat="0" applyProtection="0">
      <alignment vertical="center"/>
    </xf>
    <xf numFmtId="4" fontId="53" fillId="13" borderId="164" applyNumberFormat="0" applyProtection="0">
      <alignment horizontal="left" vertical="center" indent="1"/>
    </xf>
    <xf numFmtId="4" fontId="53" fillId="13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3" fillId="35" borderId="164" applyNumberFormat="0" applyProtection="0">
      <alignment horizontal="right" vertical="center"/>
    </xf>
    <xf numFmtId="4" fontId="53" fillId="48" borderId="164" applyNumberFormat="0" applyProtection="0">
      <alignment horizontal="right" vertical="center"/>
    </xf>
    <xf numFmtId="4" fontId="53" fillId="52" borderId="158" applyNumberFormat="0" applyProtection="0">
      <alignment horizontal="left" vertical="center" indent="1"/>
    </xf>
    <xf numFmtId="4" fontId="53" fillId="52" borderId="165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" fillId="52" borderId="164" applyNumberFormat="0" applyProtection="0">
      <alignment horizontal="left" vertical="center" indent="1"/>
    </xf>
    <xf numFmtId="0" fontId="4" fillId="54" borderId="164" applyNumberFormat="0" applyProtection="0">
      <alignment horizontal="left" vertical="center" indent="1"/>
    </xf>
    <xf numFmtId="0" fontId="4" fillId="54" borderId="164" applyNumberFormat="0" applyProtection="0">
      <alignment horizontal="left" vertical="center" indent="1"/>
    </xf>
    <xf numFmtId="0" fontId="4" fillId="30" borderId="164" applyNumberFormat="0" applyProtection="0">
      <alignment horizontal="left" vertical="center" indent="1"/>
    </xf>
    <xf numFmtId="0" fontId="4" fillId="30" borderId="164" applyNumberFormat="0" applyProtection="0">
      <alignment horizontal="left" vertical="center" indent="1"/>
    </xf>
    <xf numFmtId="0" fontId="4" fillId="33" borderId="164" applyNumberFormat="0" applyProtection="0">
      <alignment horizontal="left" vertical="center" indent="1"/>
    </xf>
    <xf numFmtId="0" fontId="4" fillId="33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4" fillId="20" borderId="164" applyNumberFormat="0" applyProtection="0">
      <alignment vertical="center"/>
    </xf>
    <xf numFmtId="4" fontId="53" fillId="20" borderId="164" applyNumberFormat="0" applyProtection="0">
      <alignment horizontal="left" vertical="center" indent="1"/>
    </xf>
    <xf numFmtId="4" fontId="53" fillId="20" borderId="164" applyNumberFormat="0" applyProtection="0">
      <alignment horizontal="left" vertical="center" indent="1"/>
    </xf>
    <xf numFmtId="4" fontId="53" fillId="52" borderId="164" applyNumberFormat="0" applyProtection="0">
      <alignment horizontal="right" vertical="center"/>
    </xf>
    <xf numFmtId="4" fontId="54" fillId="52" borderId="164" applyNumberFormat="0" applyProtection="0">
      <alignment horizontal="right" vertical="center"/>
    </xf>
    <xf numFmtId="0" fontId="4" fillId="11" borderId="164" applyNumberFormat="0" applyProtection="0">
      <alignment horizontal="left" vertical="center" indent="1"/>
    </xf>
    <xf numFmtId="4" fontId="53" fillId="50" borderId="164" applyNumberFormat="0" applyProtection="0">
      <alignment horizontal="right" vertical="center"/>
    </xf>
    <xf numFmtId="0" fontId="4" fillId="11" borderId="164" applyNumberFormat="0" applyProtection="0">
      <alignment horizontal="left" vertical="center" indent="1"/>
    </xf>
    <xf numFmtId="4" fontId="53" fillId="15" borderId="164" applyNumberFormat="0" applyProtection="0">
      <alignment horizontal="right" vertical="center"/>
    </xf>
    <xf numFmtId="4" fontId="53" fillId="16" borderId="164" applyNumberFormat="0" applyProtection="0">
      <alignment horizontal="right" vertical="center"/>
    </xf>
    <xf numFmtId="4" fontId="53" fillId="49" borderId="164" applyNumberFormat="0" applyProtection="0">
      <alignment horizontal="right" vertical="center"/>
    </xf>
    <xf numFmtId="0" fontId="4" fillId="11" borderId="164" applyNumberFormat="0" applyProtection="0">
      <alignment horizontal="left" vertical="center" indent="1"/>
    </xf>
    <xf numFmtId="4" fontId="53" fillId="20" borderId="164" applyNumberFormat="0" applyProtection="0">
      <alignment vertical="center"/>
    </xf>
    <xf numFmtId="4" fontId="53" fillId="13" borderId="159" applyNumberFormat="0" applyProtection="0">
      <alignment vertical="center"/>
    </xf>
    <xf numFmtId="4" fontId="54" fillId="13" borderId="159" applyNumberFormat="0" applyProtection="0">
      <alignment vertical="center"/>
    </xf>
    <xf numFmtId="4" fontId="53" fillId="13" borderId="159" applyNumberFormat="0" applyProtection="0">
      <alignment horizontal="left" vertical="center" indent="1"/>
    </xf>
    <xf numFmtId="4" fontId="53" fillId="1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3" fillId="35" borderId="159" applyNumberFormat="0" applyProtection="0">
      <alignment horizontal="right" vertical="center"/>
    </xf>
    <xf numFmtId="4" fontId="53" fillId="48" borderId="159" applyNumberFormat="0" applyProtection="0">
      <alignment horizontal="right" vertical="center"/>
    </xf>
    <xf numFmtId="4" fontId="53" fillId="49" borderId="159" applyNumberFormat="0" applyProtection="0">
      <alignment horizontal="right" vertical="center"/>
    </xf>
    <xf numFmtId="4" fontId="53" fillId="12" borderId="159" applyNumberFormat="0" applyProtection="0">
      <alignment horizontal="right" vertical="center"/>
    </xf>
    <xf numFmtId="4" fontId="53" fillId="50" borderId="159" applyNumberFormat="0" applyProtection="0">
      <alignment horizontal="right" vertical="center"/>
    </xf>
    <xf numFmtId="4" fontId="53" fillId="15" borderId="159" applyNumberFormat="0" applyProtection="0">
      <alignment horizontal="right" vertical="center"/>
    </xf>
    <xf numFmtId="4" fontId="53" fillId="17" borderId="159" applyNumberFormat="0" applyProtection="0">
      <alignment horizontal="right" vertical="center"/>
    </xf>
    <xf numFmtId="4" fontId="53" fillId="16" borderId="159" applyNumberFormat="0" applyProtection="0">
      <alignment horizontal="right" vertical="center"/>
    </xf>
    <xf numFmtId="4" fontId="53" fillId="19" borderId="159" applyNumberFormat="0" applyProtection="0">
      <alignment horizontal="right" vertical="center"/>
    </xf>
    <xf numFmtId="4" fontId="55" fillId="51" borderId="159" applyNumberFormat="0" applyProtection="0">
      <alignment horizontal="left" vertical="center" indent="1"/>
    </xf>
    <xf numFmtId="4" fontId="53" fillId="52" borderId="160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" fillId="52" borderId="159" applyNumberFormat="0" applyProtection="0">
      <alignment horizontal="left" vertical="center" indent="1"/>
    </xf>
    <xf numFmtId="4" fontId="5" fillId="54" borderId="159" applyNumberFormat="0" applyProtection="0">
      <alignment horizontal="left" vertical="center" indent="1"/>
    </xf>
    <xf numFmtId="0" fontId="4" fillId="54" borderId="159" applyNumberFormat="0" applyProtection="0">
      <alignment horizontal="left" vertical="center" indent="1"/>
    </xf>
    <xf numFmtId="0" fontId="4" fillId="54" borderId="159" applyNumberFormat="0" applyProtection="0">
      <alignment horizontal="left" vertical="center" indent="1"/>
    </xf>
    <xf numFmtId="0" fontId="4" fillId="30" borderId="159" applyNumberFormat="0" applyProtection="0">
      <alignment horizontal="left" vertical="center" indent="1"/>
    </xf>
    <xf numFmtId="0" fontId="4" fillId="30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3" fillId="20" borderId="159" applyNumberFormat="0" applyProtection="0">
      <alignment vertical="center"/>
    </xf>
    <xf numFmtId="4" fontId="54" fillId="20" borderId="159" applyNumberFormat="0" applyProtection="0">
      <alignment vertical="center"/>
    </xf>
    <xf numFmtId="4" fontId="53" fillId="20" borderId="159" applyNumberFormat="0" applyProtection="0">
      <alignment horizontal="left" vertical="center" indent="1"/>
    </xf>
    <xf numFmtId="4" fontId="53" fillId="20" borderId="159" applyNumberFormat="0" applyProtection="0">
      <alignment horizontal="left" vertical="center" indent="1"/>
    </xf>
    <xf numFmtId="4" fontId="53" fillId="52" borderId="159" applyNumberFormat="0" applyProtection="0">
      <alignment horizontal="right" vertical="center"/>
    </xf>
    <xf numFmtId="4" fontId="54" fillId="52" borderId="159" applyNumberFormat="0" applyProtection="0">
      <alignment horizontal="right" vertical="center"/>
    </xf>
    <xf numFmtId="0" fontId="4" fillId="11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8" fillId="52" borderId="159" applyNumberFormat="0" applyProtection="0">
      <alignment horizontal="right" vertical="center"/>
    </xf>
    <xf numFmtId="4" fontId="53" fillId="52" borderId="168" applyNumberFormat="0" applyProtection="0">
      <alignment horizontal="left" vertical="center" indent="1"/>
    </xf>
    <xf numFmtId="4" fontId="53" fillId="52" borderId="162" applyNumberFormat="0" applyProtection="0">
      <alignment horizontal="left" vertical="center" indent="1"/>
    </xf>
    <xf numFmtId="4" fontId="53" fillId="19" borderId="164" applyNumberFormat="0" applyProtection="0">
      <alignment horizontal="right" vertical="center"/>
    </xf>
    <xf numFmtId="4" fontId="58" fillId="52" borderId="164" applyNumberFormat="0" applyProtection="0">
      <alignment horizontal="right" vertical="center"/>
    </xf>
    <xf numFmtId="4" fontId="53" fillId="13" borderId="166" applyNumberFormat="0" applyProtection="0">
      <alignment vertical="center"/>
    </xf>
    <xf numFmtId="4" fontId="54" fillId="13" borderId="166" applyNumberFormat="0" applyProtection="0">
      <alignment vertical="center"/>
    </xf>
    <xf numFmtId="4" fontId="53" fillId="13" borderId="166" applyNumberFormat="0" applyProtection="0">
      <alignment horizontal="left" vertical="center" indent="1"/>
    </xf>
    <xf numFmtId="4" fontId="53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3" fillId="35" borderId="166" applyNumberFormat="0" applyProtection="0">
      <alignment horizontal="right" vertical="center"/>
    </xf>
    <xf numFmtId="4" fontId="53" fillId="48" borderId="166" applyNumberFormat="0" applyProtection="0">
      <alignment horizontal="right" vertical="center"/>
    </xf>
    <xf numFmtId="4" fontId="53" fillId="49" borderId="166" applyNumberFormat="0" applyProtection="0">
      <alignment horizontal="right" vertical="center"/>
    </xf>
    <xf numFmtId="4" fontId="53" fillId="12" borderId="166" applyNumberFormat="0" applyProtection="0">
      <alignment horizontal="right" vertical="center"/>
    </xf>
    <xf numFmtId="4" fontId="53" fillId="50" borderId="166" applyNumberFormat="0" applyProtection="0">
      <alignment horizontal="right" vertical="center"/>
    </xf>
    <xf numFmtId="4" fontId="53" fillId="15" borderId="166" applyNumberFormat="0" applyProtection="0">
      <alignment horizontal="right" vertical="center"/>
    </xf>
    <xf numFmtId="4" fontId="53" fillId="17" borderId="166" applyNumberFormat="0" applyProtection="0">
      <alignment horizontal="right" vertical="center"/>
    </xf>
    <xf numFmtId="4" fontId="53" fillId="16" borderId="166" applyNumberFormat="0" applyProtection="0">
      <alignment horizontal="right" vertical="center"/>
    </xf>
    <xf numFmtId="4" fontId="53" fillId="19" borderId="166" applyNumberFormat="0" applyProtection="0">
      <alignment horizontal="right" vertical="center"/>
    </xf>
    <xf numFmtId="4" fontId="55" fillId="51" borderId="166" applyNumberFormat="0" applyProtection="0">
      <alignment horizontal="left" vertical="center" indent="1"/>
    </xf>
    <xf numFmtId="4" fontId="53" fillId="52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52" borderId="166" applyNumberFormat="0" applyProtection="0">
      <alignment horizontal="left" vertical="center" indent="1"/>
    </xf>
    <xf numFmtId="4" fontId="5" fillId="54" borderId="166" applyNumberFormat="0" applyProtection="0">
      <alignment horizontal="left" vertical="center" indent="1"/>
    </xf>
    <xf numFmtId="0" fontId="4" fillId="54" borderId="166" applyNumberFormat="0" applyProtection="0">
      <alignment horizontal="left" vertical="center" indent="1"/>
    </xf>
    <xf numFmtId="0" fontId="4" fillId="54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3" fillId="20" borderId="166" applyNumberFormat="0" applyProtection="0">
      <alignment vertical="center"/>
    </xf>
    <xf numFmtId="4" fontId="54" fillId="20" borderId="166" applyNumberFormat="0" applyProtection="0">
      <alignment vertical="center"/>
    </xf>
    <xf numFmtId="4" fontId="53" fillId="20" borderId="166" applyNumberFormat="0" applyProtection="0">
      <alignment horizontal="left" vertical="center" indent="1"/>
    </xf>
    <xf numFmtId="4" fontId="53" fillId="20" borderId="166" applyNumberFormat="0" applyProtection="0">
      <alignment horizontal="left" vertical="center" indent="1"/>
    </xf>
    <xf numFmtId="4" fontId="53" fillId="52" borderId="166" applyNumberFormat="0" applyProtection="0">
      <alignment horizontal="right" vertical="center"/>
    </xf>
    <xf numFmtId="4" fontId="54" fillId="52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8" fillId="52" borderId="166" applyNumberFormat="0" applyProtection="0">
      <alignment horizontal="right" vertical="center"/>
    </xf>
    <xf numFmtId="4" fontId="54" fillId="13" borderId="169" applyNumberFormat="0" applyProtection="0">
      <alignment vertical="center"/>
    </xf>
    <xf numFmtId="4" fontId="53" fillId="13" borderId="169" applyNumberFormat="0" applyProtection="0">
      <alignment horizontal="left" vertical="center" indent="1"/>
    </xf>
    <xf numFmtId="4" fontId="53" fillId="13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3" fillId="35" borderId="169" applyNumberFormat="0" applyProtection="0">
      <alignment horizontal="right" vertical="center"/>
    </xf>
    <xf numFmtId="4" fontId="53" fillId="48" borderId="169" applyNumberFormat="0" applyProtection="0">
      <alignment horizontal="right" vertical="center"/>
    </xf>
    <xf numFmtId="4" fontId="53" fillId="49" borderId="169" applyNumberFormat="0" applyProtection="0">
      <alignment horizontal="right" vertical="center"/>
    </xf>
    <xf numFmtId="4" fontId="53" fillId="12" borderId="169" applyNumberFormat="0" applyProtection="0">
      <alignment horizontal="right" vertical="center"/>
    </xf>
    <xf numFmtId="4" fontId="53" fillId="50" borderId="169" applyNumberFormat="0" applyProtection="0">
      <alignment horizontal="right" vertical="center"/>
    </xf>
    <xf numFmtId="4" fontId="53" fillId="15" borderId="169" applyNumberFormat="0" applyProtection="0">
      <alignment horizontal="right" vertical="center"/>
    </xf>
    <xf numFmtId="4" fontId="53" fillId="17" borderId="169" applyNumberFormat="0" applyProtection="0">
      <alignment horizontal="right" vertical="center"/>
    </xf>
    <xf numFmtId="4" fontId="53" fillId="16" borderId="169" applyNumberFormat="0" applyProtection="0">
      <alignment horizontal="right" vertical="center"/>
    </xf>
    <xf numFmtId="4" fontId="53" fillId="19" borderId="169" applyNumberFormat="0" applyProtection="0">
      <alignment horizontal="right" vertical="center"/>
    </xf>
    <xf numFmtId="4" fontId="55" fillId="51" borderId="169" applyNumberFormat="0" applyProtection="0">
      <alignment horizontal="left" vertical="center" indent="1"/>
    </xf>
    <xf numFmtId="4" fontId="53" fillId="52" borderId="170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" fillId="52" borderId="169" applyNumberFormat="0" applyProtection="0">
      <alignment horizontal="left" vertical="center" indent="1"/>
    </xf>
    <xf numFmtId="4" fontId="5" fillId="54" borderId="169" applyNumberFormat="0" applyProtection="0">
      <alignment horizontal="left" vertical="center" indent="1"/>
    </xf>
    <xf numFmtId="0" fontId="4" fillId="54" borderId="169" applyNumberFormat="0" applyProtection="0">
      <alignment horizontal="left" vertical="center" indent="1"/>
    </xf>
    <xf numFmtId="0" fontId="4" fillId="54" borderId="169" applyNumberFormat="0" applyProtection="0">
      <alignment horizontal="left" vertical="center" indent="1"/>
    </xf>
    <xf numFmtId="0" fontId="4" fillId="30" borderId="169" applyNumberFormat="0" applyProtection="0">
      <alignment horizontal="left" vertical="center" indent="1"/>
    </xf>
    <xf numFmtId="0" fontId="4" fillId="30" borderId="169" applyNumberFormat="0" applyProtection="0">
      <alignment horizontal="left" vertical="center" indent="1"/>
    </xf>
    <xf numFmtId="0" fontId="4" fillId="33" borderId="169" applyNumberFormat="0" applyProtection="0">
      <alignment horizontal="left" vertical="center" indent="1"/>
    </xf>
    <xf numFmtId="0" fontId="4" fillId="33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3" fillId="20" borderId="169" applyNumberFormat="0" applyProtection="0">
      <alignment vertical="center"/>
    </xf>
    <xf numFmtId="4" fontId="54" fillId="20" borderId="169" applyNumberFormat="0" applyProtection="0">
      <alignment vertical="center"/>
    </xf>
    <xf numFmtId="4" fontId="53" fillId="20" borderId="169" applyNumberFormat="0" applyProtection="0">
      <alignment horizontal="left" vertical="center" indent="1"/>
    </xf>
    <xf numFmtId="4" fontId="53" fillId="20" borderId="169" applyNumberFormat="0" applyProtection="0">
      <alignment horizontal="left" vertical="center" indent="1"/>
    </xf>
    <xf numFmtId="4" fontId="53" fillId="52" borderId="169" applyNumberFormat="0" applyProtection="0">
      <alignment horizontal="right" vertical="center"/>
    </xf>
    <xf numFmtId="4" fontId="54" fillId="52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8" fillId="52" borderId="169" applyNumberFormat="0" applyProtection="0">
      <alignment horizontal="right" vertical="center"/>
    </xf>
    <xf numFmtId="0" fontId="1" fillId="0" borderId="0"/>
    <xf numFmtId="4" fontId="53" fillId="13" borderId="184" applyNumberFormat="0" applyProtection="0">
      <alignment vertical="center"/>
    </xf>
    <xf numFmtId="4" fontId="54" fillId="13" borderId="184" applyNumberFormat="0" applyProtection="0">
      <alignment vertical="center"/>
    </xf>
    <xf numFmtId="4" fontId="53" fillId="13" borderId="184" applyNumberFormat="0" applyProtection="0">
      <alignment horizontal="left" vertical="center" indent="1"/>
    </xf>
    <xf numFmtId="4" fontId="53" fillId="13" borderId="184" applyNumberFormat="0" applyProtection="0">
      <alignment horizontal="left" vertical="center" indent="1"/>
    </xf>
    <xf numFmtId="0" fontId="4" fillId="11" borderId="184" applyNumberFormat="0" applyProtection="0">
      <alignment horizontal="left" vertical="center" indent="1"/>
    </xf>
    <xf numFmtId="4" fontId="53" fillId="35" borderId="184" applyNumberFormat="0" applyProtection="0">
      <alignment horizontal="right" vertical="center"/>
    </xf>
    <xf numFmtId="4" fontId="53" fillId="48" borderId="184" applyNumberFormat="0" applyProtection="0">
      <alignment horizontal="right" vertical="center"/>
    </xf>
    <xf numFmtId="4" fontId="53" fillId="49" borderId="184" applyNumberFormat="0" applyProtection="0">
      <alignment horizontal="right" vertical="center"/>
    </xf>
    <xf numFmtId="4" fontId="53" fillId="12" borderId="184" applyNumberFormat="0" applyProtection="0">
      <alignment horizontal="right" vertical="center"/>
    </xf>
    <xf numFmtId="4" fontId="53" fillId="50" borderId="184" applyNumberFormat="0" applyProtection="0">
      <alignment horizontal="right" vertical="center"/>
    </xf>
    <xf numFmtId="4" fontId="53" fillId="15" borderId="184" applyNumberFormat="0" applyProtection="0">
      <alignment horizontal="right" vertical="center"/>
    </xf>
    <xf numFmtId="4" fontId="53" fillId="17" borderId="184" applyNumberFormat="0" applyProtection="0">
      <alignment horizontal="right" vertical="center"/>
    </xf>
    <xf numFmtId="4" fontId="53" fillId="16" borderId="184" applyNumberFormat="0" applyProtection="0">
      <alignment horizontal="right" vertical="center"/>
    </xf>
    <xf numFmtId="4" fontId="53" fillId="19" borderId="184" applyNumberFormat="0" applyProtection="0">
      <alignment horizontal="right" vertical="center"/>
    </xf>
    <xf numFmtId="4" fontId="55" fillId="51" borderId="184" applyNumberFormat="0" applyProtection="0">
      <alignment horizontal="left" vertical="center" indent="1"/>
    </xf>
    <xf numFmtId="4" fontId="53" fillId="52" borderId="185" applyNumberFormat="0" applyProtection="0">
      <alignment horizontal="left" vertical="center" indent="1"/>
    </xf>
    <xf numFmtId="0" fontId="4" fillId="11" borderId="184" applyNumberFormat="0" applyProtection="0">
      <alignment horizontal="left" vertical="center" indent="1"/>
    </xf>
    <xf numFmtId="4" fontId="5" fillId="52" borderId="184" applyNumberFormat="0" applyProtection="0">
      <alignment horizontal="left" vertical="center" indent="1"/>
    </xf>
    <xf numFmtId="4" fontId="5" fillId="54" borderId="184" applyNumberFormat="0" applyProtection="0">
      <alignment horizontal="left" vertical="center" indent="1"/>
    </xf>
    <xf numFmtId="0" fontId="4" fillId="54" borderId="184" applyNumberFormat="0" applyProtection="0">
      <alignment horizontal="left" vertical="center" indent="1"/>
    </xf>
    <xf numFmtId="0" fontId="4" fillId="54" borderId="184" applyNumberFormat="0" applyProtection="0">
      <alignment horizontal="left" vertical="center" indent="1"/>
    </xf>
    <xf numFmtId="0" fontId="4" fillId="30" borderId="184" applyNumberFormat="0" applyProtection="0">
      <alignment horizontal="left" vertical="center" indent="1"/>
    </xf>
    <xf numFmtId="0" fontId="4" fillId="30" borderId="184" applyNumberFormat="0" applyProtection="0">
      <alignment horizontal="left" vertical="center" indent="1"/>
    </xf>
    <xf numFmtId="0" fontId="4" fillId="33" borderId="184" applyNumberFormat="0" applyProtection="0">
      <alignment horizontal="left" vertical="center" indent="1"/>
    </xf>
    <xf numFmtId="0" fontId="4" fillId="33" borderId="184" applyNumberFormat="0" applyProtection="0">
      <alignment horizontal="left" vertical="center" indent="1"/>
    </xf>
    <xf numFmtId="0" fontId="4" fillId="11" borderId="184" applyNumberFormat="0" applyProtection="0">
      <alignment horizontal="left" vertical="center" indent="1"/>
    </xf>
    <xf numFmtId="0" fontId="4" fillId="11" borderId="184" applyNumberFormat="0" applyProtection="0">
      <alignment horizontal="left" vertical="center" indent="1"/>
    </xf>
    <xf numFmtId="4" fontId="53" fillId="20" borderId="184" applyNumberFormat="0" applyProtection="0">
      <alignment vertical="center"/>
    </xf>
    <xf numFmtId="4" fontId="54" fillId="20" borderId="184" applyNumberFormat="0" applyProtection="0">
      <alignment vertical="center"/>
    </xf>
    <xf numFmtId="4" fontId="53" fillId="20" borderId="184" applyNumberFormat="0" applyProtection="0">
      <alignment horizontal="left" vertical="center" indent="1"/>
    </xf>
    <xf numFmtId="4" fontId="53" fillId="20" borderId="184" applyNumberFormat="0" applyProtection="0">
      <alignment horizontal="left" vertical="center" indent="1"/>
    </xf>
    <xf numFmtId="4" fontId="53" fillId="52" borderId="184" applyNumberFormat="0" applyProtection="0">
      <alignment horizontal="right" vertical="center"/>
    </xf>
    <xf numFmtId="4" fontId="54" fillId="52" borderId="184" applyNumberFormat="0" applyProtection="0">
      <alignment horizontal="right" vertical="center"/>
    </xf>
    <xf numFmtId="0" fontId="4" fillId="11" borderId="184" applyNumberFormat="0" applyProtection="0">
      <alignment horizontal="left" vertical="center" indent="1"/>
    </xf>
    <xf numFmtId="0" fontId="4" fillId="11" borderId="184" applyNumberFormat="0" applyProtection="0">
      <alignment horizontal="left" vertical="center" indent="1"/>
    </xf>
    <xf numFmtId="4" fontId="58" fillId="52" borderId="184" applyNumberFormat="0" applyProtection="0">
      <alignment horizontal="right" vertical="center"/>
    </xf>
    <xf numFmtId="4" fontId="53" fillId="13" borderId="186" applyNumberFormat="0" applyProtection="0">
      <alignment horizontal="left" vertical="center" indent="1"/>
    </xf>
    <xf numFmtId="4" fontId="53" fillId="12" borderId="186" applyNumberFormat="0" applyProtection="0">
      <alignment horizontal="right" vertical="center"/>
    </xf>
    <xf numFmtId="4" fontId="53" fillId="13" borderId="186" applyNumberFormat="0" applyProtection="0">
      <alignment horizontal="left" vertical="center" indent="1"/>
    </xf>
    <xf numFmtId="4" fontId="54" fillId="13" borderId="186" applyNumberFormat="0" applyProtection="0">
      <alignment vertical="center"/>
    </xf>
    <xf numFmtId="4" fontId="53" fillId="13" borderId="186" applyNumberFormat="0" applyProtection="0">
      <alignment vertical="center"/>
    </xf>
    <xf numFmtId="4" fontId="53" fillId="17" borderId="186" applyNumberFormat="0" applyProtection="0">
      <alignment horizontal="right" vertical="center"/>
    </xf>
    <xf numFmtId="4" fontId="55" fillId="51" borderId="186" applyNumberFormat="0" applyProtection="0">
      <alignment horizontal="left" vertical="center" indent="1"/>
    </xf>
    <xf numFmtId="0" fontId="1" fillId="0" borderId="0"/>
    <xf numFmtId="4" fontId="53" fillId="13" borderId="186" applyNumberFormat="0" applyProtection="0">
      <alignment vertical="center"/>
    </xf>
    <xf numFmtId="4" fontId="54" fillId="13" borderId="186" applyNumberFormat="0" applyProtection="0">
      <alignment vertical="center"/>
    </xf>
    <xf numFmtId="4" fontId="53" fillId="13" borderId="186" applyNumberFormat="0" applyProtection="0">
      <alignment horizontal="left" vertical="center" indent="1"/>
    </xf>
    <xf numFmtId="4" fontId="53" fillId="1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35" borderId="186" applyNumberFormat="0" applyProtection="0">
      <alignment horizontal="right" vertical="center"/>
    </xf>
    <xf numFmtId="4" fontId="53" fillId="48" borderId="186" applyNumberFormat="0" applyProtection="0">
      <alignment horizontal="right" vertical="center"/>
    </xf>
    <xf numFmtId="4" fontId="53" fillId="49" borderId="186" applyNumberFormat="0" applyProtection="0">
      <alignment horizontal="right" vertical="center"/>
    </xf>
    <xf numFmtId="4" fontId="53" fillId="12" borderId="186" applyNumberFormat="0" applyProtection="0">
      <alignment horizontal="right" vertical="center"/>
    </xf>
    <xf numFmtId="4" fontId="53" fillId="50" borderId="186" applyNumberFormat="0" applyProtection="0">
      <alignment horizontal="right" vertical="center"/>
    </xf>
    <xf numFmtId="4" fontId="53" fillId="15" borderId="186" applyNumberFormat="0" applyProtection="0">
      <alignment horizontal="right" vertical="center"/>
    </xf>
    <xf numFmtId="4" fontId="53" fillId="17" borderId="186" applyNumberFormat="0" applyProtection="0">
      <alignment horizontal="right" vertical="center"/>
    </xf>
    <xf numFmtId="4" fontId="53" fillId="16" borderId="186" applyNumberFormat="0" applyProtection="0">
      <alignment horizontal="right" vertical="center"/>
    </xf>
    <xf numFmtId="4" fontId="53" fillId="19" borderId="186" applyNumberFormat="0" applyProtection="0">
      <alignment horizontal="right" vertical="center"/>
    </xf>
    <xf numFmtId="4" fontId="55" fillId="51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20" borderId="186" applyNumberFormat="0" applyProtection="0">
      <alignment vertical="center"/>
    </xf>
    <xf numFmtId="4" fontId="54" fillId="20" borderId="186" applyNumberFormat="0" applyProtection="0">
      <alignment vertical="center"/>
    </xf>
    <xf numFmtId="4" fontId="53" fillId="20" borderId="186" applyNumberFormat="0" applyProtection="0">
      <alignment horizontal="left" vertical="center" indent="1"/>
    </xf>
    <xf numFmtId="4" fontId="53" fillId="20" borderId="186" applyNumberFormat="0" applyProtection="0">
      <alignment horizontal="left" vertical="center" indent="1"/>
    </xf>
    <xf numFmtId="4" fontId="53" fillId="52" borderId="186" applyNumberFormat="0" applyProtection="0">
      <alignment horizontal="right" vertical="center"/>
    </xf>
    <xf numFmtId="4" fontId="54" fillId="52" borderId="186" applyNumberFormat="0" applyProtection="0">
      <alignment horizontal="right" vertical="center"/>
    </xf>
    <xf numFmtId="4" fontId="53" fillId="13" borderId="186" applyNumberFormat="0" applyProtection="0">
      <alignment vertical="center"/>
    </xf>
    <xf numFmtId="4" fontId="58" fillId="52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" fillId="52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4" fontId="53" fillId="13" borderId="186" applyNumberFormat="0" applyProtection="0">
      <alignment vertical="center"/>
    </xf>
    <xf numFmtId="4" fontId="54" fillId="13" borderId="186" applyNumberFormat="0" applyProtection="0">
      <alignment vertical="center"/>
    </xf>
    <xf numFmtId="4" fontId="53" fillId="13" borderId="186" applyNumberFormat="0" applyProtection="0">
      <alignment horizontal="left" vertical="center" indent="1"/>
    </xf>
    <xf numFmtId="4" fontId="53" fillId="1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35" borderId="186" applyNumberFormat="0" applyProtection="0">
      <alignment horizontal="right" vertical="center"/>
    </xf>
    <xf numFmtId="4" fontId="53" fillId="48" borderId="186" applyNumberFormat="0" applyProtection="0">
      <alignment horizontal="right" vertical="center"/>
    </xf>
    <xf numFmtId="4" fontId="53" fillId="49" borderId="186" applyNumberFormat="0" applyProtection="0">
      <alignment horizontal="right" vertical="center"/>
    </xf>
    <xf numFmtId="4" fontId="53" fillId="12" borderId="186" applyNumberFormat="0" applyProtection="0">
      <alignment horizontal="right" vertical="center"/>
    </xf>
    <xf numFmtId="4" fontId="53" fillId="50" borderId="186" applyNumberFormat="0" applyProtection="0">
      <alignment horizontal="right" vertical="center"/>
    </xf>
    <xf numFmtId="4" fontId="53" fillId="15" borderId="186" applyNumberFormat="0" applyProtection="0">
      <alignment horizontal="right" vertical="center"/>
    </xf>
    <xf numFmtId="4" fontId="53" fillId="17" borderId="186" applyNumberFormat="0" applyProtection="0">
      <alignment horizontal="right" vertical="center"/>
    </xf>
    <xf numFmtId="4" fontId="53" fillId="16" borderId="186" applyNumberFormat="0" applyProtection="0">
      <alignment horizontal="right" vertical="center"/>
    </xf>
    <xf numFmtId="4" fontId="53" fillId="19" borderId="186" applyNumberFormat="0" applyProtection="0">
      <alignment horizontal="right" vertical="center"/>
    </xf>
    <xf numFmtId="4" fontId="55" fillId="51" borderId="186" applyNumberFormat="0" applyProtection="0">
      <alignment horizontal="left" vertical="center" indent="1"/>
    </xf>
    <xf numFmtId="4" fontId="53" fillId="52" borderId="187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" fillId="52" borderId="186" applyNumberFormat="0" applyProtection="0">
      <alignment horizontal="left" vertical="center" indent="1"/>
    </xf>
    <xf numFmtId="4" fontId="5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20" borderId="186" applyNumberFormat="0" applyProtection="0">
      <alignment vertical="center"/>
    </xf>
    <xf numFmtId="4" fontId="54" fillId="20" borderId="186" applyNumberFormat="0" applyProtection="0">
      <alignment vertical="center"/>
    </xf>
    <xf numFmtId="4" fontId="53" fillId="20" borderId="186" applyNumberFormat="0" applyProtection="0">
      <alignment horizontal="left" vertical="center" indent="1"/>
    </xf>
    <xf numFmtId="4" fontId="53" fillId="20" borderId="186" applyNumberFormat="0" applyProtection="0">
      <alignment horizontal="left" vertical="center" indent="1"/>
    </xf>
    <xf numFmtId="4" fontId="53" fillId="52" borderId="186" applyNumberFormat="0" applyProtection="0">
      <alignment horizontal="right" vertical="center"/>
    </xf>
    <xf numFmtId="4" fontId="54" fillId="52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8" fillId="52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4" fontId="53" fillId="13" borderId="186" applyNumberFormat="0" applyProtection="0">
      <alignment vertical="center"/>
    </xf>
    <xf numFmtId="4" fontId="54" fillId="13" borderId="186" applyNumberFormat="0" applyProtection="0">
      <alignment vertical="center"/>
    </xf>
    <xf numFmtId="4" fontId="53" fillId="13" borderId="186" applyNumberFormat="0" applyProtection="0">
      <alignment horizontal="left" vertical="center" indent="1"/>
    </xf>
    <xf numFmtId="4" fontId="53" fillId="1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35" borderId="186" applyNumberFormat="0" applyProtection="0">
      <alignment horizontal="right" vertical="center"/>
    </xf>
    <xf numFmtId="4" fontId="53" fillId="48" borderId="186" applyNumberFormat="0" applyProtection="0">
      <alignment horizontal="right" vertical="center"/>
    </xf>
    <xf numFmtId="4" fontId="53" fillId="49" borderId="186" applyNumberFormat="0" applyProtection="0">
      <alignment horizontal="right" vertical="center"/>
    </xf>
    <xf numFmtId="4" fontId="53" fillId="12" borderId="186" applyNumberFormat="0" applyProtection="0">
      <alignment horizontal="right" vertical="center"/>
    </xf>
    <xf numFmtId="4" fontId="53" fillId="50" borderId="186" applyNumberFormat="0" applyProtection="0">
      <alignment horizontal="right" vertical="center"/>
    </xf>
    <xf numFmtId="4" fontId="53" fillId="15" borderId="186" applyNumberFormat="0" applyProtection="0">
      <alignment horizontal="right" vertical="center"/>
    </xf>
    <xf numFmtId="4" fontId="53" fillId="17" borderId="186" applyNumberFormat="0" applyProtection="0">
      <alignment horizontal="right" vertical="center"/>
    </xf>
    <xf numFmtId="4" fontId="53" fillId="16" borderId="186" applyNumberFormat="0" applyProtection="0">
      <alignment horizontal="right" vertical="center"/>
    </xf>
    <xf numFmtId="4" fontId="53" fillId="19" borderId="186" applyNumberFormat="0" applyProtection="0">
      <alignment horizontal="right" vertical="center"/>
    </xf>
    <xf numFmtId="4" fontId="55" fillId="51" borderId="186" applyNumberFormat="0" applyProtection="0">
      <alignment horizontal="left" vertical="center" indent="1"/>
    </xf>
    <xf numFmtId="4" fontId="53" fillId="52" borderId="187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" fillId="52" borderId="186" applyNumberFormat="0" applyProtection="0">
      <alignment horizontal="left" vertical="center" indent="1"/>
    </xf>
    <xf numFmtId="4" fontId="5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20" borderId="186" applyNumberFormat="0" applyProtection="0">
      <alignment vertical="center"/>
    </xf>
    <xf numFmtId="4" fontId="54" fillId="20" borderId="186" applyNumberFormat="0" applyProtection="0">
      <alignment vertical="center"/>
    </xf>
    <xf numFmtId="4" fontId="53" fillId="20" borderId="186" applyNumberFormat="0" applyProtection="0">
      <alignment horizontal="left" vertical="center" indent="1"/>
    </xf>
    <xf numFmtId="4" fontId="53" fillId="20" borderId="186" applyNumberFormat="0" applyProtection="0">
      <alignment horizontal="left" vertical="center" indent="1"/>
    </xf>
    <xf numFmtId="4" fontId="53" fillId="52" borderId="186" applyNumberFormat="0" applyProtection="0">
      <alignment horizontal="right" vertical="center"/>
    </xf>
    <xf numFmtId="4" fontId="54" fillId="52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8" fillId="52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4" fontId="53" fillId="35" borderId="186" applyNumberFormat="0" applyProtection="0">
      <alignment horizontal="right" vertical="center"/>
    </xf>
    <xf numFmtId="4" fontId="53" fillId="48" borderId="186" applyNumberFormat="0" applyProtection="0">
      <alignment horizontal="right" vertical="center"/>
    </xf>
    <xf numFmtId="4" fontId="53" fillId="49" borderId="186" applyNumberFormat="0" applyProtection="0">
      <alignment horizontal="right" vertical="center"/>
    </xf>
    <xf numFmtId="4" fontId="53" fillId="12" borderId="186" applyNumberFormat="0" applyProtection="0">
      <alignment horizontal="right" vertical="center"/>
    </xf>
    <xf numFmtId="4" fontId="53" fillId="50" borderId="186" applyNumberFormat="0" applyProtection="0">
      <alignment horizontal="right" vertical="center"/>
    </xf>
    <xf numFmtId="4" fontId="53" fillId="15" borderId="186" applyNumberFormat="0" applyProtection="0">
      <alignment horizontal="right" vertical="center"/>
    </xf>
    <xf numFmtId="4" fontId="53" fillId="17" borderId="186" applyNumberFormat="0" applyProtection="0">
      <alignment horizontal="right" vertical="center"/>
    </xf>
    <xf numFmtId="4" fontId="53" fillId="16" borderId="186" applyNumberFormat="0" applyProtection="0">
      <alignment horizontal="right" vertical="center"/>
    </xf>
    <xf numFmtId="4" fontId="53" fillId="19" borderId="186" applyNumberFormat="0" applyProtection="0">
      <alignment horizontal="right" vertical="center"/>
    </xf>
    <xf numFmtId="4" fontId="55" fillId="51" borderId="186" applyNumberFormat="0" applyProtection="0">
      <alignment horizontal="left" vertical="center" indent="1"/>
    </xf>
    <xf numFmtId="4" fontId="53" fillId="52" borderId="187" applyNumberFormat="0" applyProtection="0">
      <alignment horizontal="left" vertical="center" indent="1"/>
    </xf>
    <xf numFmtId="4" fontId="53" fillId="52" borderId="187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" fillId="52" borderId="186" applyNumberFormat="0" applyProtection="0">
      <alignment horizontal="left" vertical="center" indent="1"/>
    </xf>
    <xf numFmtId="4" fontId="5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20" borderId="186" applyNumberFormat="0" applyProtection="0">
      <alignment vertical="center"/>
    </xf>
    <xf numFmtId="4" fontId="54" fillId="20" borderId="186" applyNumberFormat="0" applyProtection="0">
      <alignment vertical="center"/>
    </xf>
    <xf numFmtId="4" fontId="53" fillId="20" borderId="186" applyNumberFormat="0" applyProtection="0">
      <alignment horizontal="left" vertical="center" indent="1"/>
    </xf>
    <xf numFmtId="4" fontId="53" fillId="20" borderId="186" applyNumberFormat="0" applyProtection="0">
      <alignment horizontal="left" vertical="center" indent="1"/>
    </xf>
    <xf numFmtId="4" fontId="53" fillId="52" borderId="186" applyNumberFormat="0" applyProtection="0">
      <alignment horizontal="right" vertical="center"/>
    </xf>
    <xf numFmtId="4" fontId="54" fillId="52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" fillId="54" borderId="186" applyNumberFormat="0" applyProtection="0">
      <alignment horizontal="left" vertical="center" indent="1"/>
    </xf>
    <xf numFmtId="4" fontId="58" fillId="52" borderId="186" applyNumberFormat="0" applyProtection="0">
      <alignment horizontal="right" vertical="center"/>
    </xf>
    <xf numFmtId="0" fontId="4" fillId="30" borderId="186" applyNumberFormat="0" applyProtection="0">
      <alignment horizontal="left" vertical="center" indent="1"/>
    </xf>
    <xf numFmtId="4" fontId="5" fillId="54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13" borderId="186" applyNumberFormat="0" applyProtection="0">
      <alignment vertical="center"/>
    </xf>
    <xf numFmtId="4" fontId="54" fillId="13" borderId="186" applyNumberFormat="0" applyProtection="0">
      <alignment vertical="center"/>
    </xf>
    <xf numFmtId="4" fontId="53" fillId="13" borderId="186" applyNumberFormat="0" applyProtection="0">
      <alignment horizontal="left" vertical="center" indent="1"/>
    </xf>
    <xf numFmtId="4" fontId="53" fillId="1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35" borderId="186" applyNumberFormat="0" applyProtection="0">
      <alignment horizontal="right" vertical="center"/>
    </xf>
    <xf numFmtId="4" fontId="53" fillId="48" borderId="186" applyNumberFormat="0" applyProtection="0">
      <alignment horizontal="right" vertical="center"/>
    </xf>
    <xf numFmtId="4" fontId="53" fillId="49" borderId="186" applyNumberFormat="0" applyProtection="0">
      <alignment horizontal="right" vertical="center"/>
    </xf>
    <xf numFmtId="4" fontId="53" fillId="12" borderId="186" applyNumberFormat="0" applyProtection="0">
      <alignment horizontal="right" vertical="center"/>
    </xf>
    <xf numFmtId="4" fontId="53" fillId="50" borderId="186" applyNumberFormat="0" applyProtection="0">
      <alignment horizontal="right" vertical="center"/>
    </xf>
    <xf numFmtId="4" fontId="53" fillId="15" borderId="186" applyNumberFormat="0" applyProtection="0">
      <alignment horizontal="right" vertical="center"/>
    </xf>
    <xf numFmtId="4" fontId="53" fillId="17" borderId="186" applyNumberFormat="0" applyProtection="0">
      <alignment horizontal="right" vertical="center"/>
    </xf>
    <xf numFmtId="4" fontId="53" fillId="16" borderId="186" applyNumberFormat="0" applyProtection="0">
      <alignment horizontal="right" vertical="center"/>
    </xf>
    <xf numFmtId="4" fontId="53" fillId="19" borderId="186" applyNumberFormat="0" applyProtection="0">
      <alignment horizontal="right" vertical="center"/>
    </xf>
    <xf numFmtId="4" fontId="55" fillId="51" borderId="186" applyNumberFormat="0" applyProtection="0">
      <alignment horizontal="left" vertical="center" indent="1"/>
    </xf>
    <xf numFmtId="4" fontId="53" fillId="52" borderId="187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" fillId="52" borderId="186" applyNumberFormat="0" applyProtection="0">
      <alignment horizontal="left" vertical="center" indent="1"/>
    </xf>
    <xf numFmtId="4" fontId="5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20" borderId="186" applyNumberFormat="0" applyProtection="0">
      <alignment vertical="center"/>
    </xf>
    <xf numFmtId="4" fontId="54" fillId="20" borderId="186" applyNumberFormat="0" applyProtection="0">
      <alignment vertical="center"/>
    </xf>
    <xf numFmtId="4" fontId="53" fillId="20" borderId="186" applyNumberFormat="0" applyProtection="0">
      <alignment horizontal="left" vertical="center" indent="1"/>
    </xf>
    <xf numFmtId="4" fontId="53" fillId="20" borderId="186" applyNumberFormat="0" applyProtection="0">
      <alignment horizontal="left" vertical="center" indent="1"/>
    </xf>
    <xf numFmtId="4" fontId="53" fillId="52" borderId="186" applyNumberFormat="0" applyProtection="0">
      <alignment horizontal="right" vertical="center"/>
    </xf>
    <xf numFmtId="4" fontId="54" fillId="52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8" fillId="52" borderId="186" applyNumberFormat="0" applyProtection="0">
      <alignment horizontal="right" vertical="center"/>
    </xf>
    <xf numFmtId="0" fontId="4" fillId="54" borderId="186" applyNumberFormat="0" applyProtection="0">
      <alignment horizontal="left" vertical="center" indent="1"/>
    </xf>
    <xf numFmtId="4" fontId="53" fillId="13" borderId="186" applyNumberFormat="0" applyProtection="0">
      <alignment vertical="center"/>
    </xf>
    <xf numFmtId="4" fontId="54" fillId="13" borderId="186" applyNumberFormat="0" applyProtection="0">
      <alignment vertical="center"/>
    </xf>
    <xf numFmtId="4" fontId="53" fillId="13" borderId="186" applyNumberFormat="0" applyProtection="0">
      <alignment horizontal="left" vertical="center" indent="1"/>
    </xf>
    <xf numFmtId="4" fontId="53" fillId="1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35" borderId="186" applyNumberFormat="0" applyProtection="0">
      <alignment horizontal="right" vertical="center"/>
    </xf>
    <xf numFmtId="4" fontId="53" fillId="48" borderId="186" applyNumberFormat="0" applyProtection="0">
      <alignment horizontal="right" vertical="center"/>
    </xf>
    <xf numFmtId="4" fontId="53" fillId="52" borderId="187" applyNumberFormat="0" applyProtection="0">
      <alignment horizontal="left" vertical="center" indent="1"/>
    </xf>
    <xf numFmtId="4" fontId="53" fillId="52" borderId="187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" fillId="52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4" fillId="20" borderId="186" applyNumberFormat="0" applyProtection="0">
      <alignment vertical="center"/>
    </xf>
    <xf numFmtId="4" fontId="53" fillId="20" borderId="186" applyNumberFormat="0" applyProtection="0">
      <alignment horizontal="left" vertical="center" indent="1"/>
    </xf>
    <xf numFmtId="4" fontId="53" fillId="20" borderId="186" applyNumberFormat="0" applyProtection="0">
      <alignment horizontal="left" vertical="center" indent="1"/>
    </xf>
    <xf numFmtId="4" fontId="53" fillId="52" borderId="186" applyNumberFormat="0" applyProtection="0">
      <alignment horizontal="right" vertical="center"/>
    </xf>
    <xf numFmtId="4" fontId="54" fillId="52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4" fontId="53" fillId="50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4" fontId="53" fillId="15" borderId="186" applyNumberFormat="0" applyProtection="0">
      <alignment horizontal="right" vertical="center"/>
    </xf>
    <xf numFmtId="4" fontId="53" fillId="16" borderId="186" applyNumberFormat="0" applyProtection="0">
      <alignment horizontal="right" vertical="center"/>
    </xf>
    <xf numFmtId="4" fontId="53" fillId="49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4" fontId="53" fillId="20" borderId="186" applyNumberFormat="0" applyProtection="0">
      <alignment vertical="center"/>
    </xf>
    <xf numFmtId="4" fontId="53" fillId="13" borderId="186" applyNumberFormat="0" applyProtection="0">
      <alignment vertical="center"/>
    </xf>
    <xf numFmtId="4" fontId="54" fillId="13" borderId="186" applyNumberFormat="0" applyProtection="0">
      <alignment vertical="center"/>
    </xf>
    <xf numFmtId="4" fontId="53" fillId="13" borderId="186" applyNumberFormat="0" applyProtection="0">
      <alignment horizontal="left" vertical="center" indent="1"/>
    </xf>
    <xf numFmtId="4" fontId="53" fillId="1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35" borderId="186" applyNumberFormat="0" applyProtection="0">
      <alignment horizontal="right" vertical="center"/>
    </xf>
    <xf numFmtId="4" fontId="53" fillId="48" borderId="186" applyNumberFormat="0" applyProtection="0">
      <alignment horizontal="right" vertical="center"/>
    </xf>
    <xf numFmtId="4" fontId="53" fillId="49" borderId="186" applyNumberFormat="0" applyProtection="0">
      <alignment horizontal="right" vertical="center"/>
    </xf>
    <xf numFmtId="4" fontId="53" fillId="12" borderId="186" applyNumberFormat="0" applyProtection="0">
      <alignment horizontal="right" vertical="center"/>
    </xf>
    <xf numFmtId="4" fontId="53" fillId="50" borderId="186" applyNumberFormat="0" applyProtection="0">
      <alignment horizontal="right" vertical="center"/>
    </xf>
    <xf numFmtId="4" fontId="53" fillId="15" borderId="186" applyNumberFormat="0" applyProtection="0">
      <alignment horizontal="right" vertical="center"/>
    </xf>
    <xf numFmtId="4" fontId="53" fillId="17" borderId="186" applyNumberFormat="0" applyProtection="0">
      <alignment horizontal="right" vertical="center"/>
    </xf>
    <xf numFmtId="4" fontId="53" fillId="16" borderId="186" applyNumberFormat="0" applyProtection="0">
      <alignment horizontal="right" vertical="center"/>
    </xf>
    <xf numFmtId="4" fontId="53" fillId="19" borderId="186" applyNumberFormat="0" applyProtection="0">
      <alignment horizontal="right" vertical="center"/>
    </xf>
    <xf numFmtId="4" fontId="55" fillId="51" borderId="186" applyNumberFormat="0" applyProtection="0">
      <alignment horizontal="left" vertical="center" indent="1"/>
    </xf>
    <xf numFmtId="4" fontId="53" fillId="52" borderId="187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" fillId="52" borderId="186" applyNumberFormat="0" applyProtection="0">
      <alignment horizontal="left" vertical="center" indent="1"/>
    </xf>
    <xf numFmtId="4" fontId="5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20" borderId="186" applyNumberFormat="0" applyProtection="0">
      <alignment vertical="center"/>
    </xf>
    <xf numFmtId="4" fontId="54" fillId="20" borderId="186" applyNumberFormat="0" applyProtection="0">
      <alignment vertical="center"/>
    </xf>
    <xf numFmtId="4" fontId="53" fillId="20" borderId="186" applyNumberFormat="0" applyProtection="0">
      <alignment horizontal="left" vertical="center" indent="1"/>
    </xf>
    <xf numFmtId="4" fontId="53" fillId="20" borderId="186" applyNumberFormat="0" applyProtection="0">
      <alignment horizontal="left" vertical="center" indent="1"/>
    </xf>
    <xf numFmtId="4" fontId="53" fillId="52" borderId="186" applyNumberFormat="0" applyProtection="0">
      <alignment horizontal="right" vertical="center"/>
    </xf>
    <xf numFmtId="4" fontId="54" fillId="52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8" fillId="52" borderId="186" applyNumberFormat="0" applyProtection="0">
      <alignment horizontal="right" vertical="center"/>
    </xf>
    <xf numFmtId="4" fontId="53" fillId="52" borderId="187" applyNumberFormat="0" applyProtection="0">
      <alignment horizontal="left" vertical="center" indent="1"/>
    </xf>
    <xf numFmtId="4" fontId="53" fillId="52" borderId="187" applyNumberFormat="0" applyProtection="0">
      <alignment horizontal="left" vertical="center" indent="1"/>
    </xf>
    <xf numFmtId="4" fontId="53" fillId="19" borderId="186" applyNumberFormat="0" applyProtection="0">
      <alignment horizontal="right" vertical="center"/>
    </xf>
    <xf numFmtId="4" fontId="58" fillId="52" borderId="186" applyNumberFormat="0" applyProtection="0">
      <alignment horizontal="right" vertical="center"/>
    </xf>
    <xf numFmtId="4" fontId="53" fillId="13" borderId="186" applyNumberFormat="0" applyProtection="0">
      <alignment vertical="center"/>
    </xf>
    <xf numFmtId="4" fontId="54" fillId="13" borderId="186" applyNumberFormat="0" applyProtection="0">
      <alignment vertical="center"/>
    </xf>
    <xf numFmtId="4" fontId="53" fillId="13" borderId="186" applyNumberFormat="0" applyProtection="0">
      <alignment horizontal="left" vertical="center" indent="1"/>
    </xf>
    <xf numFmtId="4" fontId="53" fillId="1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35" borderId="186" applyNumberFormat="0" applyProtection="0">
      <alignment horizontal="right" vertical="center"/>
    </xf>
    <xf numFmtId="4" fontId="53" fillId="48" borderId="186" applyNumberFormat="0" applyProtection="0">
      <alignment horizontal="right" vertical="center"/>
    </xf>
    <xf numFmtId="4" fontId="53" fillId="49" borderId="186" applyNumberFormat="0" applyProtection="0">
      <alignment horizontal="right" vertical="center"/>
    </xf>
    <xf numFmtId="4" fontId="53" fillId="12" borderId="186" applyNumberFormat="0" applyProtection="0">
      <alignment horizontal="right" vertical="center"/>
    </xf>
    <xf numFmtId="4" fontId="53" fillId="50" borderId="186" applyNumberFormat="0" applyProtection="0">
      <alignment horizontal="right" vertical="center"/>
    </xf>
    <xf numFmtId="4" fontId="53" fillId="15" borderId="186" applyNumberFormat="0" applyProtection="0">
      <alignment horizontal="right" vertical="center"/>
    </xf>
    <xf numFmtId="4" fontId="53" fillId="17" borderId="186" applyNumberFormat="0" applyProtection="0">
      <alignment horizontal="right" vertical="center"/>
    </xf>
    <xf numFmtId="4" fontId="53" fillId="16" borderId="186" applyNumberFormat="0" applyProtection="0">
      <alignment horizontal="right" vertical="center"/>
    </xf>
    <xf numFmtId="4" fontId="53" fillId="19" borderId="186" applyNumberFormat="0" applyProtection="0">
      <alignment horizontal="right" vertical="center"/>
    </xf>
    <xf numFmtId="4" fontId="55" fillId="51" borderId="186" applyNumberFormat="0" applyProtection="0">
      <alignment horizontal="left" vertical="center" indent="1"/>
    </xf>
    <xf numFmtId="4" fontId="53" fillId="52" borderId="187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" fillId="52" borderId="186" applyNumberFormat="0" applyProtection="0">
      <alignment horizontal="left" vertical="center" indent="1"/>
    </xf>
    <xf numFmtId="4" fontId="5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20" borderId="186" applyNumberFormat="0" applyProtection="0">
      <alignment vertical="center"/>
    </xf>
    <xf numFmtId="4" fontId="54" fillId="20" borderId="186" applyNumberFormat="0" applyProtection="0">
      <alignment vertical="center"/>
    </xf>
    <xf numFmtId="4" fontId="53" fillId="20" borderId="186" applyNumberFormat="0" applyProtection="0">
      <alignment horizontal="left" vertical="center" indent="1"/>
    </xf>
    <xf numFmtId="4" fontId="53" fillId="20" borderId="186" applyNumberFormat="0" applyProtection="0">
      <alignment horizontal="left" vertical="center" indent="1"/>
    </xf>
    <xf numFmtId="4" fontId="53" fillId="52" borderId="186" applyNumberFormat="0" applyProtection="0">
      <alignment horizontal="right" vertical="center"/>
    </xf>
    <xf numFmtId="4" fontId="54" fillId="52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8" fillId="52" borderId="186" applyNumberFormat="0" applyProtection="0">
      <alignment horizontal="right" vertical="center"/>
    </xf>
    <xf numFmtId="4" fontId="54" fillId="13" borderId="186" applyNumberFormat="0" applyProtection="0">
      <alignment vertical="center"/>
    </xf>
    <xf numFmtId="4" fontId="53" fillId="13" borderId="186" applyNumberFormat="0" applyProtection="0">
      <alignment horizontal="left" vertical="center" indent="1"/>
    </xf>
    <xf numFmtId="4" fontId="53" fillId="1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35" borderId="186" applyNumberFormat="0" applyProtection="0">
      <alignment horizontal="right" vertical="center"/>
    </xf>
    <xf numFmtId="4" fontId="53" fillId="48" borderId="186" applyNumberFormat="0" applyProtection="0">
      <alignment horizontal="right" vertical="center"/>
    </xf>
    <xf numFmtId="4" fontId="53" fillId="49" borderId="186" applyNumberFormat="0" applyProtection="0">
      <alignment horizontal="right" vertical="center"/>
    </xf>
    <xf numFmtId="4" fontId="53" fillId="12" borderId="186" applyNumberFormat="0" applyProtection="0">
      <alignment horizontal="right" vertical="center"/>
    </xf>
    <xf numFmtId="4" fontId="53" fillId="50" borderId="186" applyNumberFormat="0" applyProtection="0">
      <alignment horizontal="right" vertical="center"/>
    </xf>
    <xf numFmtId="4" fontId="53" fillId="15" borderId="186" applyNumberFormat="0" applyProtection="0">
      <alignment horizontal="right" vertical="center"/>
    </xf>
    <xf numFmtId="4" fontId="53" fillId="17" borderId="186" applyNumberFormat="0" applyProtection="0">
      <alignment horizontal="right" vertical="center"/>
    </xf>
    <xf numFmtId="4" fontId="53" fillId="16" borderId="186" applyNumberFormat="0" applyProtection="0">
      <alignment horizontal="right" vertical="center"/>
    </xf>
    <xf numFmtId="4" fontId="53" fillId="19" borderId="186" applyNumberFormat="0" applyProtection="0">
      <alignment horizontal="right" vertical="center"/>
    </xf>
    <xf numFmtId="4" fontId="55" fillId="51" borderId="186" applyNumberFormat="0" applyProtection="0">
      <alignment horizontal="left" vertical="center" indent="1"/>
    </xf>
    <xf numFmtId="4" fontId="53" fillId="52" borderId="187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" fillId="52" borderId="186" applyNumberFormat="0" applyProtection="0">
      <alignment horizontal="left" vertical="center" indent="1"/>
    </xf>
    <xf numFmtId="4" fontId="5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54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0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33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3" fillId="20" borderId="186" applyNumberFormat="0" applyProtection="0">
      <alignment vertical="center"/>
    </xf>
    <xf numFmtId="4" fontId="54" fillId="20" borderId="186" applyNumberFormat="0" applyProtection="0">
      <alignment vertical="center"/>
    </xf>
    <xf numFmtId="4" fontId="53" fillId="20" borderId="186" applyNumberFormat="0" applyProtection="0">
      <alignment horizontal="left" vertical="center" indent="1"/>
    </xf>
    <xf numFmtId="4" fontId="53" fillId="20" borderId="186" applyNumberFormat="0" applyProtection="0">
      <alignment horizontal="left" vertical="center" indent="1"/>
    </xf>
    <xf numFmtId="4" fontId="53" fillId="52" borderId="186" applyNumberFormat="0" applyProtection="0">
      <alignment horizontal="right" vertical="center"/>
    </xf>
    <xf numFmtId="4" fontId="54" fillId="52" borderId="186" applyNumberFormat="0" applyProtection="0">
      <alignment horizontal="right" vertical="center"/>
    </xf>
    <xf numFmtId="0" fontId="4" fillId="11" borderId="186" applyNumberFormat="0" applyProtection="0">
      <alignment horizontal="left" vertical="center" indent="1"/>
    </xf>
    <xf numFmtId="0" fontId="4" fillId="11" borderId="186" applyNumberFormat="0" applyProtection="0">
      <alignment horizontal="left" vertical="center" indent="1"/>
    </xf>
    <xf numFmtId="4" fontId="58" fillId="52" borderId="186" applyNumberFormat="0" applyProtection="0">
      <alignment horizontal="right" vertical="center"/>
    </xf>
  </cellStyleXfs>
  <cellXfs count="3775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70" xfId="0" applyNumberFormat="1" applyFont="1" applyFill="1" applyBorder="1"/>
    <xf numFmtId="3" fontId="8" fillId="6" borderId="30" xfId="0" applyNumberFormat="1" applyFont="1" applyFill="1" applyBorder="1"/>
    <xf numFmtId="3" fontId="8" fillId="6" borderId="29" xfId="0" applyNumberFormat="1" applyFont="1" applyFill="1" applyBorder="1"/>
    <xf numFmtId="3" fontId="6" fillId="6" borderId="47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80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80" xfId="4" applyFont="1" applyBorder="1" applyAlignment="1">
      <alignment horizontal="center" vertical="center" wrapText="1"/>
    </xf>
    <xf numFmtId="3" fontId="27" fillId="21" borderId="70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7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7" fillId="13" borderId="0" xfId="4" applyFont="1" applyFill="1" applyBorder="1" applyAlignment="1">
      <alignment horizontal="right" vertical="center"/>
    </xf>
    <xf numFmtId="3" fontId="7" fillId="13" borderId="10" xfId="4" applyNumberFormat="1" applyFont="1" applyFill="1" applyBorder="1" applyAlignment="1">
      <alignment horizontal="right" vertical="center"/>
    </xf>
    <xf numFmtId="3" fontId="7" fillId="24" borderId="10" xfId="4" applyNumberFormat="1" applyFont="1" applyFill="1" applyBorder="1" applyAlignment="1">
      <alignment horizontal="right"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7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70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31" fillId="25" borderId="30" xfId="4" applyNumberFormat="1" applyFont="1" applyFill="1" applyBorder="1" applyAlignment="1">
      <alignment horizontal="right" vertical="center"/>
    </xf>
    <xf numFmtId="3" fontId="32" fillId="0" borderId="65" xfId="6" applyNumberFormat="1" applyFont="1" applyFill="1" applyBorder="1" applyAlignment="1">
      <alignment vertical="center"/>
    </xf>
    <xf numFmtId="3" fontId="7" fillId="0" borderId="63" xfId="4" applyNumberFormat="1" applyFont="1" applyFill="1" applyBorder="1" applyAlignment="1">
      <alignment horizontal="right" vertical="center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33" fillId="25" borderId="30" xfId="6" applyNumberFormat="1" applyFont="1" applyFill="1" applyBorder="1" applyAlignment="1">
      <alignment vertical="center"/>
    </xf>
    <xf numFmtId="3" fontId="7" fillId="0" borderId="65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2" fillId="0" borderId="30" xfId="6" applyNumberFormat="1" applyFont="1" applyFill="1" applyBorder="1" applyAlignment="1">
      <alignment vertical="center"/>
    </xf>
    <xf numFmtId="0" fontId="31" fillId="0" borderId="83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23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70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0" borderId="65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horizontal="right" vertical="center"/>
    </xf>
    <xf numFmtId="3" fontId="33" fillId="25" borderId="0" xfId="6" applyNumberFormat="1" applyFont="1" applyFill="1" applyBorder="1" applyAlignment="1">
      <alignment vertical="center"/>
    </xf>
    <xf numFmtId="0" fontId="7" fillId="0" borderId="83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7" xfId="4" applyFont="1" applyFill="1" applyBorder="1" applyAlignment="1">
      <alignment vertical="center"/>
    </xf>
    <xf numFmtId="3" fontId="31" fillId="0" borderId="47" xfId="4" applyNumberFormat="1" applyFont="1" applyFill="1" applyBorder="1" applyAlignment="1">
      <alignment horizontal="right" vertical="center"/>
    </xf>
    <xf numFmtId="0" fontId="24" fillId="6" borderId="34" xfId="4" applyFont="1" applyFill="1" applyBorder="1" applyAlignment="1">
      <alignment horizontal="left"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7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24" fillId="8" borderId="35" xfId="4" applyNumberFormat="1" applyFont="1" applyFill="1" applyBorder="1" applyAlignment="1">
      <alignment horizontal="right" vertical="center"/>
    </xf>
    <xf numFmtId="3" fontId="24" fillId="8" borderId="10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2" xfId="6" applyNumberFormat="1" applyFont="1" applyFill="1" applyBorder="1" applyAlignment="1">
      <alignment vertical="center"/>
    </xf>
    <xf numFmtId="3" fontId="32" fillId="0" borderId="47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32" fillId="25" borderId="10" xfId="6" applyNumberFormat="1" applyFont="1" applyFill="1" applyBorder="1" applyAlignment="1">
      <alignment vertical="center"/>
    </xf>
    <xf numFmtId="3" fontId="25" fillId="8" borderId="70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24" fillId="23" borderId="10" xfId="4" applyNumberFormat="1" applyFont="1" applyFill="1" applyBorder="1" applyAlignment="1">
      <alignment horizontal="right" vertical="center"/>
    </xf>
    <xf numFmtId="3" fontId="32" fillId="0" borderId="10" xfId="6" applyNumberFormat="1" applyFont="1" applyFill="1" applyBorder="1" applyAlignment="1">
      <alignment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7" fillId="2" borderId="27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7" fillId="0" borderId="63" xfId="4" applyNumberFormat="1" applyFont="1" applyFill="1" applyBorder="1" applyAlignment="1">
      <alignment horizontal="right" vertical="center"/>
    </xf>
    <xf numFmtId="3" fontId="27" fillId="0" borderId="6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8" borderId="70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29" fillId="0" borderId="35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27" fillId="13" borderId="9" xfId="4" applyNumberFormat="1" applyFont="1" applyFill="1" applyBorder="1" applyAlignment="1">
      <alignment horizontal="right" vertical="center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3" fontId="31" fillId="0" borderId="35" xfId="0" applyNumberFormat="1" applyFont="1" applyFill="1" applyBorder="1" applyAlignment="1">
      <alignment horizontal="right" vertical="center"/>
    </xf>
    <xf numFmtId="0" fontId="25" fillId="6" borderId="84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8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9" xfId="4" applyFont="1" applyFill="1" applyBorder="1" applyAlignment="1">
      <alignment horizontal="right" vertical="center" wrapText="1"/>
    </xf>
    <xf numFmtId="0" fontId="37" fillId="0" borderId="0" xfId="0" applyFont="1" applyBorder="1" applyAlignment="1">
      <alignment horizontal="center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7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70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4" xfId="4" applyNumberFormat="1" applyFont="1" applyFill="1" applyBorder="1" applyAlignment="1">
      <alignment vertical="center" wrapText="1"/>
    </xf>
    <xf numFmtId="0" fontId="31" fillId="0" borderId="85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31" fillId="6" borderId="28" xfId="0" applyFont="1" applyFill="1" applyBorder="1" applyAlignment="1">
      <alignment vertical="top"/>
    </xf>
    <xf numFmtId="0" fontId="7" fillId="6" borderId="20" xfId="0" applyFont="1" applyFill="1" applyBorder="1" applyAlignment="1">
      <alignment horizontal="left" vertical="center" wrapText="1"/>
    </xf>
    <xf numFmtId="3" fontId="31" fillId="0" borderId="72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9" xfId="0" applyNumberFormat="1" applyFont="1" applyFill="1" applyBorder="1" applyAlignment="1">
      <alignment vertical="top"/>
    </xf>
    <xf numFmtId="3" fontId="7" fillId="23" borderId="70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3" fontId="25" fillId="6" borderId="9" xfId="0" applyNumberFormat="1" applyFont="1" applyFill="1" applyBorder="1" applyAlignment="1">
      <alignment vertical="top"/>
    </xf>
    <xf numFmtId="3" fontId="25" fillId="22" borderId="35" xfId="0" applyNumberFormat="1" applyFont="1" applyFill="1" applyBorder="1" applyAlignment="1">
      <alignment vertical="top"/>
    </xf>
    <xf numFmtId="0" fontId="7" fillId="8" borderId="3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vertical="top" wrapText="1"/>
    </xf>
    <xf numFmtId="0" fontId="30" fillId="8" borderId="11" xfId="0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center"/>
    </xf>
    <xf numFmtId="0" fontId="16" fillId="2" borderId="88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80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3" fontId="27" fillId="8" borderId="30" xfId="0" applyNumberFormat="1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32" fillId="8" borderId="28" xfId="6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31" fillId="25" borderId="72" xfId="4" applyNumberFormat="1" applyFont="1" applyFill="1" applyBorder="1" applyAlignment="1">
      <alignment horizontal="right"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39" xfId="4" applyNumberFormat="1" applyFont="1" applyFill="1" applyBorder="1" applyAlignment="1">
      <alignment horizontal="right" vertical="center"/>
    </xf>
    <xf numFmtId="3" fontId="25" fillId="22" borderId="29" xfId="4" applyNumberFormat="1" applyFont="1" applyFill="1" applyBorder="1" applyAlignment="1">
      <alignment horizontal="right" vertical="center"/>
    </xf>
    <xf numFmtId="0" fontId="32" fillId="0" borderId="38" xfId="0" applyFont="1" applyBorder="1" applyAlignment="1">
      <alignment horizontal="center" vertical="center" wrapText="1"/>
    </xf>
    <xf numFmtId="3" fontId="7" fillId="0" borderId="5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5" borderId="45" xfId="4" applyFont="1" applyFill="1" applyBorder="1" applyAlignment="1">
      <alignment horizontal="left" vertical="center"/>
    </xf>
    <xf numFmtId="0" fontId="27" fillId="55" borderId="16" xfId="4" applyFont="1" applyFill="1" applyBorder="1" applyAlignment="1">
      <alignment horizontal="left" vertical="center"/>
    </xf>
    <xf numFmtId="3" fontId="27" fillId="55" borderId="17" xfId="4" applyNumberFormat="1" applyFont="1" applyFill="1" applyBorder="1" applyAlignment="1">
      <alignment horizontal="right" vertical="center"/>
    </xf>
    <xf numFmtId="0" fontId="27" fillId="55" borderId="67" xfId="4" applyFont="1" applyFill="1" applyBorder="1" applyAlignment="1">
      <alignment horizontal="left" vertical="center"/>
    </xf>
    <xf numFmtId="0" fontId="27" fillId="55" borderId="6" xfId="4" applyFont="1" applyFill="1" applyBorder="1" applyAlignment="1">
      <alignment horizontal="left" vertical="center"/>
    </xf>
    <xf numFmtId="3" fontId="27" fillId="55" borderId="27" xfId="4" applyNumberFormat="1" applyFont="1" applyFill="1" applyBorder="1" applyAlignment="1">
      <alignment horizontal="right" vertical="center"/>
    </xf>
    <xf numFmtId="0" fontId="27" fillId="55" borderId="67" xfId="0" applyFont="1" applyFill="1" applyBorder="1" applyAlignment="1">
      <alignment horizontal="left" vertical="top"/>
    </xf>
    <xf numFmtId="0" fontId="28" fillId="55" borderId="6" xfId="0" quotePrefix="1" applyFont="1" applyFill="1" applyBorder="1" applyAlignment="1">
      <alignment horizontal="center" vertical="top"/>
    </xf>
    <xf numFmtId="3" fontId="27" fillId="55" borderId="27" xfId="0" quotePrefix="1" applyNumberFormat="1" applyFont="1" applyFill="1" applyBorder="1" applyAlignment="1">
      <alignment horizontal="right" vertical="top"/>
    </xf>
    <xf numFmtId="0" fontId="27" fillId="55" borderId="34" xfId="4" applyFont="1" applyFill="1" applyBorder="1" applyAlignment="1">
      <alignment horizontal="left" vertical="center"/>
    </xf>
    <xf numFmtId="3" fontId="27" fillId="55" borderId="29" xfId="4" applyNumberFormat="1" applyFont="1" applyFill="1" applyBorder="1" applyAlignment="1">
      <alignment horizontal="right" vertical="center"/>
    </xf>
    <xf numFmtId="0" fontId="27" fillId="55" borderId="36" xfId="4" applyFont="1" applyFill="1" applyBorder="1" applyAlignment="1">
      <alignment horizontal="left" vertical="center"/>
    </xf>
    <xf numFmtId="0" fontId="27" fillId="55" borderId="20" xfId="4" applyFont="1" applyFill="1" applyBorder="1" applyAlignment="1">
      <alignment horizontal="left" vertical="center"/>
    </xf>
    <xf numFmtId="3" fontId="27" fillId="55" borderId="9" xfId="4" applyNumberFormat="1" applyFont="1" applyFill="1" applyBorder="1" applyAlignment="1">
      <alignment horizontal="right" vertical="center"/>
    </xf>
    <xf numFmtId="0" fontId="27" fillId="55" borderId="46" xfId="0" applyFont="1" applyFill="1" applyBorder="1" applyAlignment="1">
      <alignment horizontal="left" vertical="top"/>
    </xf>
    <xf numFmtId="3" fontId="27" fillId="55" borderId="23" xfId="0" quotePrefix="1" applyNumberFormat="1" applyFont="1" applyFill="1" applyBorder="1" applyAlignment="1">
      <alignment horizontal="right" vertical="top"/>
    </xf>
    <xf numFmtId="0" fontId="27" fillId="55" borderId="11" xfId="4" applyFont="1" applyFill="1" applyBorder="1" applyAlignment="1">
      <alignment horizontal="left" vertical="center"/>
    </xf>
    <xf numFmtId="0" fontId="27" fillId="55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/>
    </xf>
    <xf numFmtId="3" fontId="31" fillId="0" borderId="13" xfId="0" applyNumberFormat="1" applyFont="1" applyFill="1" applyBorder="1" applyAlignment="1">
      <alignment vertical="top"/>
    </xf>
    <xf numFmtId="0" fontId="0" fillId="0" borderId="24" xfId="0" applyFont="1" applyBorder="1" applyAlignment="1">
      <alignment vertical="center"/>
    </xf>
    <xf numFmtId="3" fontId="0" fillId="0" borderId="0" xfId="0" applyNumberFormat="1" applyFont="1"/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5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2" xfId="4" applyNumberFormat="1" applyFont="1" applyFill="1" applyBorder="1" applyAlignment="1">
      <alignment horizontal="right" vertical="center"/>
    </xf>
    <xf numFmtId="3" fontId="25" fillId="22" borderId="71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31" fillId="25" borderId="64" xfId="4" applyNumberFormat="1" applyFont="1" applyFill="1" applyBorder="1" applyAlignment="1">
      <alignment horizontal="right" vertical="center"/>
    </xf>
    <xf numFmtId="3" fontId="24" fillId="8" borderId="2" xfId="0" applyNumberFormat="1" applyFont="1" applyFill="1" applyBorder="1" applyAlignment="1">
      <alignment vertical="center"/>
    </xf>
    <xf numFmtId="3" fontId="25" fillId="6" borderId="0" xfId="4" applyNumberFormat="1" applyFont="1" applyFill="1" applyBorder="1" applyAlignment="1">
      <alignment horizontal="right"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33" fillId="0" borderId="0" xfId="6" applyNumberFormat="1" applyFont="1" applyFill="1" applyBorder="1" applyAlignment="1">
      <alignment vertical="center"/>
    </xf>
    <xf numFmtId="3" fontId="25" fillId="8" borderId="1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4" xfId="4" applyNumberFormat="1" applyFont="1" applyFill="1" applyBorder="1" applyAlignment="1">
      <alignment horizontal="right" vertical="center"/>
    </xf>
    <xf numFmtId="0" fontId="23" fillId="0" borderId="12" xfId="6" applyFont="1" applyBorder="1" applyAlignment="1">
      <alignment horizontal="center" vertical="center"/>
    </xf>
    <xf numFmtId="3" fontId="31" fillId="0" borderId="65" xfId="4" applyNumberFormat="1" applyFont="1" applyFill="1" applyBorder="1" applyAlignment="1">
      <alignment vertical="center"/>
    </xf>
    <xf numFmtId="3" fontId="32" fillId="8" borderId="72" xfId="6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2" xfId="4" applyNumberFormat="1" applyFont="1" applyFill="1" applyBorder="1" applyAlignment="1">
      <alignment horizontal="right" vertical="center"/>
    </xf>
    <xf numFmtId="3" fontId="8" fillId="6" borderId="17" xfId="0" applyNumberFormat="1" applyFont="1" applyFill="1" applyBorder="1"/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3" fontId="8" fillId="6" borderId="63" xfId="0" applyNumberFormat="1" applyFont="1" applyFill="1" applyBorder="1"/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3" fillId="0" borderId="29" xfId="1" applyFont="1" applyFill="1" applyBorder="1" applyAlignment="1">
      <alignment vertical="center"/>
    </xf>
    <xf numFmtId="43" fontId="33" fillId="0" borderId="9" xfId="1" applyFont="1" applyFill="1" applyBorder="1" applyAlignment="1">
      <alignment vertical="center"/>
    </xf>
    <xf numFmtId="0" fontId="24" fillId="8" borderId="85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5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3" fillId="0" borderId="80" xfId="4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5" fillId="8" borderId="19" xfId="4" applyFont="1" applyFill="1" applyBorder="1" applyAlignment="1">
      <alignment vertical="center" wrapText="1"/>
    </xf>
    <xf numFmtId="0" fontId="25" fillId="8" borderId="19" xfId="4" applyFont="1" applyFill="1" applyBorder="1" applyAlignment="1">
      <alignment horizontal="left" vertical="center" wrapText="1"/>
    </xf>
    <xf numFmtId="43" fontId="25" fillId="6" borderId="29" xfId="1" applyFont="1" applyFill="1" applyBorder="1" applyAlignment="1">
      <alignment horizontal="right" vertical="center"/>
    </xf>
    <xf numFmtId="43" fontId="27" fillId="0" borderId="29" xfId="1" applyFont="1" applyFill="1" applyBorder="1" applyAlignment="1">
      <alignment horizontal="right" vertical="center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33" fillId="0" borderId="30" xfId="1" applyFont="1" applyFill="1" applyBorder="1" applyAlignment="1">
      <alignment vertical="center"/>
    </xf>
    <xf numFmtId="43" fontId="7" fillId="0" borderId="47" xfId="1" applyFont="1" applyFill="1" applyBorder="1" applyAlignment="1">
      <alignment horizontal="right" vertical="center"/>
    </xf>
    <xf numFmtId="43" fontId="27" fillId="0" borderId="30" xfId="1" applyFont="1" applyFill="1" applyBorder="1" applyAlignment="1">
      <alignment horizontal="right" vertical="center"/>
    </xf>
    <xf numFmtId="3" fontId="24" fillId="8" borderId="0" xfId="4" applyNumberFormat="1" applyFont="1" applyFill="1" applyBorder="1" applyAlignment="1">
      <alignment horizontal="right" vertical="center"/>
    </xf>
    <xf numFmtId="3" fontId="24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25" fillId="26" borderId="51" xfId="4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5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71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5" xfId="1" applyFont="1" applyFill="1" applyBorder="1" applyAlignment="1">
      <alignment horizontal="right" vertical="center"/>
    </xf>
    <xf numFmtId="3" fontId="27" fillId="25" borderId="10" xfId="4" applyNumberFormat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9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7" fillId="0" borderId="71" xfId="4" applyNumberFormat="1" applyFont="1" applyFill="1" applyBorder="1" applyAlignment="1">
      <alignment horizontal="right" vertical="center"/>
    </xf>
    <xf numFmtId="0" fontId="25" fillId="32" borderId="12" xfId="4" applyFont="1" applyFill="1" applyBorder="1" applyAlignment="1">
      <alignment horizontal="center" vertical="center" wrapText="1"/>
    </xf>
    <xf numFmtId="3" fontId="24" fillId="23" borderId="70" xfId="4" applyNumberFormat="1" applyFont="1" applyFill="1" applyBorder="1" applyAlignment="1">
      <alignment horizontal="right" vertical="center"/>
    </xf>
    <xf numFmtId="3" fontId="33" fillId="25" borderId="10" xfId="6" applyNumberFormat="1" applyFont="1" applyFill="1" applyBorder="1" applyAlignment="1">
      <alignment vertical="center"/>
    </xf>
    <xf numFmtId="3" fontId="31" fillId="25" borderId="10" xfId="4" applyNumberFormat="1" applyFont="1" applyFill="1" applyBorder="1" applyAlignment="1">
      <alignment horizontal="right" vertical="center"/>
    </xf>
    <xf numFmtId="3" fontId="31" fillId="25" borderId="8" xfId="4" applyNumberFormat="1" applyFont="1" applyFill="1" applyBorder="1" applyAlignment="1">
      <alignment horizontal="right" vertical="center"/>
    </xf>
    <xf numFmtId="43" fontId="31" fillId="0" borderId="72" xfId="1" applyFont="1" applyFill="1" applyBorder="1" applyAlignment="1">
      <alignment horizontal="right" vertical="center"/>
    </xf>
    <xf numFmtId="43" fontId="33" fillId="0" borderId="93" xfId="1" applyFont="1" applyFill="1" applyBorder="1" applyAlignment="1">
      <alignment horizontal="right" vertical="center"/>
    </xf>
    <xf numFmtId="3" fontId="27" fillId="25" borderId="93" xfId="4" applyNumberFormat="1" applyFont="1" applyFill="1" applyBorder="1" applyAlignment="1">
      <alignment horizontal="right" vertical="center"/>
    </xf>
    <xf numFmtId="3" fontId="32" fillId="0" borderId="93" xfId="6" applyNumberFormat="1" applyFont="1" applyFill="1" applyBorder="1" applyAlignment="1">
      <alignment vertical="center"/>
    </xf>
    <xf numFmtId="3" fontId="25" fillId="22" borderId="91" xfId="4" applyNumberFormat="1" applyFont="1" applyFill="1" applyBorder="1" applyAlignment="1">
      <alignment horizontal="right" vertical="center"/>
    </xf>
    <xf numFmtId="3" fontId="7" fillId="0" borderId="95" xfId="4" applyNumberFormat="1" applyFont="1" applyFill="1" applyBorder="1" applyAlignment="1">
      <alignment horizontal="right" vertical="center"/>
    </xf>
    <xf numFmtId="3" fontId="33" fillId="0" borderId="93" xfId="6" applyNumberFormat="1" applyFont="1" applyFill="1" applyBorder="1" applyAlignment="1">
      <alignment vertical="center"/>
    </xf>
    <xf numFmtId="3" fontId="33" fillId="0" borderId="91" xfId="6" applyNumberFormat="1" applyFont="1" applyFill="1" applyBorder="1" applyAlignment="1">
      <alignment vertical="center"/>
    </xf>
    <xf numFmtId="0" fontId="25" fillId="6" borderId="94" xfId="4" applyFont="1" applyFill="1" applyBorder="1" applyAlignment="1">
      <alignment horizontal="left" vertical="center"/>
    </xf>
    <xf numFmtId="3" fontId="27" fillId="2" borderId="94" xfId="4" applyNumberFormat="1" applyFont="1" applyFill="1" applyBorder="1" applyAlignment="1">
      <alignment vertical="center" wrapText="1"/>
    </xf>
    <xf numFmtId="3" fontId="27" fillId="0" borderId="96" xfId="4" applyNumberFormat="1" applyFont="1" applyFill="1" applyBorder="1" applyAlignment="1">
      <alignment horizontal="right" vertical="center"/>
    </xf>
    <xf numFmtId="3" fontId="27" fillId="0" borderId="95" xfId="4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25" fillId="0" borderId="23" xfId="4" applyFont="1" applyBorder="1" applyAlignment="1">
      <alignment horizontal="center" vertical="center" wrapText="1"/>
    </xf>
    <xf numFmtId="3" fontId="0" fillId="0" borderId="0" xfId="0" applyNumberFormat="1" applyFont="1" applyBorder="1"/>
    <xf numFmtId="3" fontId="59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91" xfId="0" applyNumberFormat="1" applyFont="1" applyFill="1" applyBorder="1" applyAlignment="1">
      <alignment vertical="center"/>
    </xf>
    <xf numFmtId="3" fontId="29" fillId="23" borderId="91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91" xfId="0" applyNumberFormat="1" applyFont="1" applyFill="1" applyBorder="1" applyAlignment="1">
      <alignment vertical="center"/>
    </xf>
    <xf numFmtId="3" fontId="7" fillId="23" borderId="91" xfId="0" applyNumberFormat="1" applyFont="1" applyFill="1" applyBorder="1" applyAlignment="1">
      <alignment vertical="center"/>
    </xf>
    <xf numFmtId="0" fontId="59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91" xfId="1" applyFont="1" applyFill="1" applyBorder="1" applyAlignment="1">
      <alignment vertical="center"/>
    </xf>
    <xf numFmtId="0" fontId="7" fillId="8" borderId="99" xfId="0" applyFont="1" applyFill="1" applyBorder="1" applyAlignment="1">
      <alignment vertical="top" wrapText="1"/>
    </xf>
    <xf numFmtId="0" fontId="7" fillId="8" borderId="92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7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93" xfId="0" applyNumberFormat="1" applyFont="1" applyFill="1" applyBorder="1" applyAlignment="1">
      <alignment vertical="top"/>
    </xf>
    <xf numFmtId="3" fontId="25" fillId="22" borderId="93" xfId="0" applyNumberFormat="1" applyFont="1" applyFill="1" applyBorder="1" applyAlignment="1">
      <alignment vertical="top"/>
    </xf>
    <xf numFmtId="3" fontId="27" fillId="2" borderId="93" xfId="0" applyNumberFormat="1" applyFont="1" applyFill="1" applyBorder="1" applyAlignment="1">
      <alignment vertical="top"/>
    </xf>
    <xf numFmtId="3" fontId="25" fillId="25" borderId="91" xfId="0" applyNumberFormat="1" applyFont="1" applyFill="1" applyBorder="1" applyAlignment="1">
      <alignment vertical="top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31" fillId="0" borderId="93" xfId="0" applyNumberFormat="1" applyFont="1" applyFill="1" applyBorder="1" applyAlignment="1">
      <alignment vertical="top"/>
    </xf>
    <xf numFmtId="3" fontId="27" fillId="0" borderId="93" xfId="0" applyNumberFormat="1" applyFont="1" applyFill="1" applyBorder="1" applyAlignment="1">
      <alignment vertical="top"/>
    </xf>
    <xf numFmtId="0" fontId="31" fillId="0" borderId="99" xfId="0" applyFont="1" applyFill="1" applyBorder="1" applyAlignment="1">
      <alignment horizontal="left" vertical="center" wrapText="1"/>
    </xf>
    <xf numFmtId="3" fontId="31" fillId="0" borderId="91" xfId="0" applyNumberFormat="1" applyFont="1" applyFill="1" applyBorder="1" applyAlignment="1">
      <alignment vertical="top"/>
    </xf>
    <xf numFmtId="0" fontId="27" fillId="2" borderId="97" xfId="4" applyFont="1" applyFill="1" applyBorder="1" applyAlignment="1">
      <alignment vertical="top"/>
    </xf>
    <xf numFmtId="0" fontId="31" fillId="0" borderId="77" xfId="4" applyFont="1" applyFill="1" applyBorder="1" applyAlignment="1">
      <alignment vertical="center"/>
    </xf>
    <xf numFmtId="3" fontId="25" fillId="6" borderId="91" xfId="0" applyNumberFormat="1" applyFont="1" applyFill="1" applyBorder="1" applyAlignment="1">
      <alignment vertical="top"/>
    </xf>
    <xf numFmtId="3" fontId="27" fillId="2" borderId="91" xfId="0" applyNumberFormat="1" applyFont="1" applyFill="1" applyBorder="1" applyAlignment="1">
      <alignment vertical="top"/>
    </xf>
    <xf numFmtId="3" fontId="27" fillId="0" borderId="91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5" fillId="22" borderId="91" xfId="0" applyNumberFormat="1" applyFont="1" applyFill="1" applyBorder="1" applyAlignment="1">
      <alignment vertical="top"/>
    </xf>
    <xf numFmtId="3" fontId="31" fillId="0" borderId="93" xfId="0" applyNumberFormat="1" applyFont="1" applyFill="1" applyBorder="1" applyAlignment="1">
      <alignment vertical="center"/>
    </xf>
    <xf numFmtId="3" fontId="21" fillId="0" borderId="47" xfId="0" applyNumberFormat="1" applyFont="1" applyFill="1" applyBorder="1" applyAlignment="1">
      <alignment horizontal="right" vertical="center"/>
    </xf>
    <xf numFmtId="0" fontId="41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0" fontId="27" fillId="2" borderId="94" xfId="4" applyFont="1" applyFill="1" applyBorder="1" applyAlignment="1">
      <alignment vertical="top"/>
    </xf>
    <xf numFmtId="3" fontId="27" fillId="2" borderId="93" xfId="0" applyNumberFormat="1" applyFont="1" applyFill="1" applyBorder="1" applyAlignment="1">
      <alignment vertical="center"/>
    </xf>
    <xf numFmtId="3" fontId="27" fillId="26" borderId="93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3" fontId="7" fillId="0" borderId="35" xfId="0" applyNumberFormat="1" applyFont="1" applyFill="1" applyBorder="1" applyAlignment="1">
      <alignment vertical="top"/>
    </xf>
    <xf numFmtId="3" fontId="27" fillId="0" borderId="9" xfId="0" applyNumberFormat="1" applyFont="1" applyFill="1" applyBorder="1" applyAlignment="1">
      <alignment vertical="top"/>
    </xf>
    <xf numFmtId="3" fontId="27" fillId="25" borderId="9" xfId="0" applyNumberFormat="1" applyFont="1" applyFill="1" applyBorder="1" applyAlignment="1">
      <alignment vertical="top"/>
    </xf>
    <xf numFmtId="3" fontId="25" fillId="6" borderId="93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0" borderId="28" xfId="0" applyFont="1" applyBorder="1" applyAlignment="1">
      <alignment horizontal="center" vertical="center" wrapText="1"/>
    </xf>
    <xf numFmtId="0" fontId="28" fillId="57" borderId="6" xfId="0" applyFont="1" applyFill="1" applyBorder="1" applyAlignment="1">
      <alignment vertical="top"/>
    </xf>
    <xf numFmtId="0" fontId="28" fillId="58" borderId="28" xfId="0" applyFont="1" applyFill="1" applyBorder="1" applyAlignment="1">
      <alignment vertical="top"/>
    </xf>
    <xf numFmtId="0" fontId="28" fillId="59" borderId="28" xfId="0" applyFont="1" applyFill="1" applyBorder="1" applyAlignment="1">
      <alignment vertical="top"/>
    </xf>
    <xf numFmtId="0" fontId="31" fillId="55" borderId="28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5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19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19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3" fontId="31" fillId="8" borderId="18" xfId="0" applyNumberFormat="1" applyFont="1" applyFill="1" applyBorder="1" applyAlignment="1">
      <alignment vertical="top"/>
    </xf>
    <xf numFmtId="0" fontId="31" fillId="8" borderId="18" xfId="0" applyFont="1" applyFill="1" applyBorder="1" applyAlignment="1">
      <alignment vertical="top"/>
    </xf>
    <xf numFmtId="0" fontId="31" fillId="8" borderId="17" xfId="0" applyFont="1" applyFill="1" applyBorder="1" applyAlignment="1">
      <alignment vertical="top"/>
    </xf>
    <xf numFmtId="3" fontId="31" fillId="8" borderId="79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0" fillId="0" borderId="35" xfId="0" applyFont="1" applyBorder="1"/>
    <xf numFmtId="0" fontId="0" fillId="0" borderId="105" xfId="0" applyFont="1" applyBorder="1"/>
    <xf numFmtId="0" fontId="0" fillId="0" borderId="104" xfId="0" applyFont="1" applyBorder="1"/>
    <xf numFmtId="3" fontId="0" fillId="0" borderId="104" xfId="0" applyNumberFormat="1" applyFont="1" applyBorder="1"/>
    <xf numFmtId="0" fontId="41" fillId="0" borderId="104" xfId="0" applyFont="1" applyBorder="1"/>
    <xf numFmtId="3" fontId="25" fillId="22" borderId="104" xfId="4" applyNumberFormat="1" applyFont="1" applyFill="1" applyBorder="1" applyAlignment="1">
      <alignment horizontal="right" vertical="center"/>
    </xf>
    <xf numFmtId="3" fontId="33" fillId="0" borderId="104" xfId="6" applyNumberFormat="1" applyFont="1" applyFill="1" applyBorder="1" applyAlignment="1">
      <alignment vertical="center"/>
    </xf>
    <xf numFmtId="3" fontId="32" fillId="0" borderId="104" xfId="6" applyNumberFormat="1" applyFont="1" applyFill="1" applyBorder="1" applyAlignment="1">
      <alignment vertical="center"/>
    </xf>
    <xf numFmtId="3" fontId="25" fillId="6" borderId="104" xfId="4" applyNumberFormat="1" applyFont="1" applyFill="1" applyBorder="1" applyAlignment="1">
      <alignment horizontal="right" vertical="center"/>
    </xf>
    <xf numFmtId="0" fontId="0" fillId="0" borderId="104" xfId="0" applyFont="1" applyFill="1" applyBorder="1"/>
    <xf numFmtId="0" fontId="0" fillId="0" borderId="104" xfId="0" applyFont="1" applyBorder="1" applyAlignment="1">
      <alignment vertical="center"/>
    </xf>
    <xf numFmtId="0" fontId="32" fillId="0" borderId="0" xfId="0" applyFont="1" applyFill="1" applyBorder="1"/>
    <xf numFmtId="0" fontId="27" fillId="55" borderId="28" xfId="4" applyFont="1" applyFill="1" applyBorder="1" applyAlignment="1">
      <alignment horizontal="left" vertical="center"/>
    </xf>
    <xf numFmtId="3" fontId="27" fillId="55" borderId="93" xfId="4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vertical="top"/>
    </xf>
    <xf numFmtId="3" fontId="31" fillId="0" borderId="104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105" xfId="4" applyNumberFormat="1" applyFont="1" applyFill="1" applyBorder="1" applyAlignment="1">
      <alignment horizontal="right" vertical="center"/>
    </xf>
    <xf numFmtId="3" fontId="27" fillId="0" borderId="105" xfId="4" applyNumberFormat="1" applyFont="1" applyFill="1" applyBorder="1" applyAlignment="1">
      <alignment horizontal="right" vertical="center"/>
    </xf>
    <xf numFmtId="3" fontId="27" fillId="25" borderId="105" xfId="4" applyNumberFormat="1" applyFont="1" applyFill="1" applyBorder="1" applyAlignment="1">
      <alignment horizontal="right" vertical="center"/>
    </xf>
    <xf numFmtId="3" fontId="7" fillId="0" borderId="105" xfId="4" applyNumberFormat="1" applyFont="1" applyFill="1" applyBorder="1" applyAlignment="1">
      <alignment horizontal="right" vertical="center"/>
    </xf>
    <xf numFmtId="3" fontId="31" fillId="0" borderId="105" xfId="4" applyNumberFormat="1" applyFont="1" applyFill="1" applyBorder="1" applyAlignment="1">
      <alignment horizontal="right" vertical="center"/>
    </xf>
    <xf numFmtId="3" fontId="31" fillId="25" borderId="105" xfId="4" applyNumberFormat="1" applyFont="1" applyFill="1" applyBorder="1" applyAlignment="1">
      <alignment horizontal="right" vertical="center"/>
    </xf>
    <xf numFmtId="3" fontId="33" fillId="0" borderId="105" xfId="6" applyNumberFormat="1" applyFont="1" applyFill="1" applyBorder="1" applyAlignment="1">
      <alignment vertical="center"/>
    </xf>
    <xf numFmtId="3" fontId="7" fillId="0" borderId="103" xfId="4" applyNumberFormat="1" applyFont="1" applyFill="1" applyBorder="1" applyAlignment="1">
      <alignment horizontal="right" vertical="center"/>
    </xf>
    <xf numFmtId="3" fontId="7" fillId="0" borderId="109" xfId="4" applyNumberFormat="1" applyFont="1" applyFill="1" applyBorder="1" applyAlignment="1">
      <alignment horizontal="right" vertical="center"/>
    </xf>
    <xf numFmtId="3" fontId="29" fillId="25" borderId="105" xfId="4" applyNumberFormat="1" applyFont="1" applyFill="1" applyBorder="1" applyAlignment="1">
      <alignment horizontal="right" vertical="center"/>
    </xf>
    <xf numFmtId="3" fontId="31" fillId="0" borderId="109" xfId="4" applyNumberFormat="1" applyFont="1" applyFill="1" applyBorder="1" applyAlignment="1">
      <alignment horizontal="right" vertical="center"/>
    </xf>
    <xf numFmtId="0" fontId="25" fillId="6" borderId="114" xfId="4" applyFont="1" applyFill="1" applyBorder="1" applyAlignment="1">
      <alignment horizontal="left" vertical="center"/>
    </xf>
    <xf numFmtId="3" fontId="23" fillId="6" borderId="105" xfId="6" applyNumberFormat="1" applyFont="1" applyFill="1" applyBorder="1" applyAlignment="1">
      <alignment horizontal="right" vertical="center"/>
    </xf>
    <xf numFmtId="3" fontId="33" fillId="0" borderId="105" xfId="6" applyNumberFormat="1" applyFont="1" applyFill="1" applyBorder="1" applyAlignment="1">
      <alignment horizontal="right" vertical="center"/>
    </xf>
    <xf numFmtId="3" fontId="25" fillId="6" borderId="105" xfId="0" applyNumberFormat="1" applyFont="1" applyFill="1" applyBorder="1" applyAlignment="1">
      <alignment vertical="top"/>
    </xf>
    <xf numFmtId="3" fontId="27" fillId="2" borderId="105" xfId="0" applyNumberFormat="1" applyFont="1" applyFill="1" applyBorder="1" applyAlignment="1">
      <alignment vertical="top"/>
    </xf>
    <xf numFmtId="3" fontId="27" fillId="0" borderId="105" xfId="0" applyNumberFormat="1" applyFont="1" applyFill="1" applyBorder="1" applyAlignment="1">
      <alignment vertical="top"/>
    </xf>
    <xf numFmtId="0" fontId="28" fillId="56" borderId="107" xfId="0" applyFont="1" applyFill="1" applyBorder="1" applyAlignment="1">
      <alignment vertical="center"/>
    </xf>
    <xf numFmtId="0" fontId="31" fillId="55" borderId="107" xfId="0" applyFont="1" applyFill="1" applyBorder="1" applyAlignment="1">
      <alignment vertical="top"/>
    </xf>
    <xf numFmtId="3" fontId="24" fillId="6" borderId="105" xfId="4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05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43" fontId="7" fillId="0" borderId="29" xfId="1" applyFont="1" applyFill="1" applyBorder="1" applyAlignment="1">
      <alignment horizontal="right" vertical="center"/>
    </xf>
    <xf numFmtId="43" fontId="7" fillId="0" borderId="74" xfId="1" applyFont="1" applyFill="1" applyBorder="1" applyAlignment="1">
      <alignment horizontal="right" vertical="center"/>
    </xf>
    <xf numFmtId="3" fontId="24" fillId="8" borderId="79" xfId="4" applyNumberFormat="1" applyFont="1" applyFill="1" applyBorder="1" applyAlignment="1">
      <alignment horizontal="right" vertical="center"/>
    </xf>
    <xf numFmtId="43" fontId="31" fillId="0" borderId="109" xfId="1" applyFont="1" applyFill="1" applyBorder="1" applyAlignment="1">
      <alignment horizontal="right" vertical="center"/>
    </xf>
    <xf numFmtId="3" fontId="65" fillId="8" borderId="17" xfId="6" applyNumberFormat="1" applyFont="1" applyFill="1" applyBorder="1" applyAlignment="1">
      <alignment vertical="center"/>
    </xf>
    <xf numFmtId="3" fontId="7" fillId="8" borderId="2" xfId="4" applyNumberFormat="1" applyFont="1" applyFill="1" applyBorder="1" applyAlignment="1">
      <alignment horizontal="right" vertical="center"/>
    </xf>
    <xf numFmtId="3" fontId="33" fillId="0" borderId="71" xfId="6" applyNumberFormat="1" applyFont="1" applyFill="1" applyBorder="1" applyAlignment="1">
      <alignment vertical="center"/>
    </xf>
    <xf numFmtId="0" fontId="17" fillId="8" borderId="6" xfId="4" applyFont="1" applyFill="1" applyBorder="1" applyAlignment="1">
      <alignment vertical="top"/>
    </xf>
    <xf numFmtId="0" fontId="27" fillId="55" borderId="94" xfId="4" applyFont="1" applyFill="1" applyBorder="1" applyAlignment="1">
      <alignment horizontal="left" vertical="center"/>
    </xf>
    <xf numFmtId="0" fontId="31" fillId="0" borderId="32" xfId="0" applyFont="1" applyFill="1" applyBorder="1" applyAlignment="1">
      <alignment horizontal="left" vertical="center" wrapText="1"/>
    </xf>
    <xf numFmtId="3" fontId="25" fillId="0" borderId="93" xfId="0" applyNumberFormat="1" applyFont="1" applyFill="1" applyBorder="1" applyAlignment="1">
      <alignment vertical="top"/>
    </xf>
    <xf numFmtId="3" fontId="27" fillId="22" borderId="91" xfId="0" applyNumberFormat="1" applyFont="1" applyFill="1" applyBorder="1" applyAlignment="1">
      <alignment vertical="top"/>
    </xf>
    <xf numFmtId="0" fontId="31" fillId="0" borderId="36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3" fontId="25" fillId="0" borderId="9" xfId="0" applyNumberFormat="1" applyFont="1" applyFill="1" applyBorder="1" applyAlignment="1">
      <alignment vertical="top"/>
    </xf>
    <xf numFmtId="0" fontId="65" fillId="57" borderId="21" xfId="0" applyFont="1" applyFill="1" applyBorder="1"/>
    <xf numFmtId="0" fontId="65" fillId="58" borderId="32" xfId="0" applyFont="1" applyFill="1" applyBorder="1"/>
    <xf numFmtId="0" fontId="65" fillId="56" borderId="32" xfId="0" applyFont="1" applyFill="1" applyBorder="1" applyAlignment="1">
      <alignment vertical="center"/>
    </xf>
    <xf numFmtId="0" fontId="41" fillId="59" borderId="0" xfId="0" applyFont="1" applyFill="1" applyBorder="1"/>
    <xf numFmtId="0" fontId="31" fillId="55" borderId="32" xfId="4" applyFont="1" applyFill="1" applyBorder="1" applyAlignment="1">
      <alignment horizontal="left" vertical="center"/>
    </xf>
    <xf numFmtId="0" fontId="6" fillId="0" borderId="28" xfId="0" applyFont="1" applyFill="1" applyBorder="1" applyAlignment="1">
      <alignment vertical="center" wrapText="1"/>
    </xf>
    <xf numFmtId="0" fontId="41" fillId="59" borderId="84" xfId="0" applyFont="1" applyFill="1" applyBorder="1"/>
    <xf numFmtId="0" fontId="31" fillId="6" borderId="28" xfId="0" applyFont="1" applyFill="1" applyBorder="1" applyAlignment="1">
      <alignment vertical="center"/>
    </xf>
    <xf numFmtId="3" fontId="25" fillId="22" borderId="93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3" fontId="7" fillId="23" borderId="104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7" fillId="0" borderId="119" xfId="4" applyNumberFormat="1" applyFont="1" applyFill="1" applyBorder="1" applyAlignment="1">
      <alignment horizontal="right" vertical="center"/>
    </xf>
    <xf numFmtId="3" fontId="23" fillId="6" borderId="118" xfId="6" applyNumberFormat="1" applyFont="1" applyFill="1" applyBorder="1" applyAlignment="1">
      <alignment horizontal="right" vertical="center"/>
    </xf>
    <xf numFmtId="43" fontId="23" fillId="6" borderId="118" xfId="1" applyFont="1" applyFill="1" applyBorder="1" applyAlignment="1">
      <alignment horizontal="right" vertical="center"/>
    </xf>
    <xf numFmtId="3" fontId="27" fillId="55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3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7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7" fillId="0" borderId="108" xfId="4" applyFont="1" applyFill="1" applyBorder="1" applyAlignment="1">
      <alignment horizontal="left" vertical="center"/>
    </xf>
    <xf numFmtId="0" fontId="31" fillId="0" borderId="77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3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5" fillId="6" borderId="106" xfId="4" applyFont="1" applyFill="1" applyBorder="1" applyAlignment="1">
      <alignment horizontal="left" vertical="center"/>
    </xf>
    <xf numFmtId="3" fontId="25" fillId="6" borderId="118" xfId="4" applyNumberFormat="1" applyFont="1" applyFill="1" applyBorder="1" applyAlignment="1">
      <alignment horizontal="right" vertical="center"/>
    </xf>
    <xf numFmtId="3" fontId="25" fillId="22" borderId="117" xfId="4" applyNumberFormat="1" applyFont="1" applyFill="1" applyBorder="1" applyAlignment="1">
      <alignment horizontal="right" vertical="center"/>
    </xf>
    <xf numFmtId="3" fontId="27" fillId="25" borderId="118" xfId="4" applyNumberFormat="1" applyFont="1" applyFill="1" applyBorder="1" applyAlignment="1">
      <alignment horizontal="right" vertical="center"/>
    </xf>
    <xf numFmtId="3" fontId="27" fillId="0" borderId="118" xfId="4" applyNumberFormat="1" applyFont="1" applyFill="1" applyBorder="1" applyAlignment="1">
      <alignment horizontal="right" vertical="center"/>
    </xf>
    <xf numFmtId="3" fontId="27" fillId="2" borderId="114" xfId="4" applyNumberFormat="1" applyFont="1" applyFill="1" applyBorder="1" applyAlignment="1">
      <alignment vertical="center" wrapText="1"/>
    </xf>
    <xf numFmtId="3" fontId="33" fillId="0" borderId="118" xfId="6" applyNumberFormat="1" applyFont="1" applyFill="1" applyBorder="1" applyAlignment="1">
      <alignment horizontal="right" vertical="center"/>
    </xf>
    <xf numFmtId="3" fontId="24" fillId="22" borderId="118" xfId="4" applyNumberFormat="1" applyFont="1" applyFill="1" applyBorder="1" applyAlignment="1">
      <alignment horizontal="right" vertical="center"/>
    </xf>
    <xf numFmtId="43" fontId="33" fillId="0" borderId="118" xfId="1" applyFont="1" applyFill="1" applyBorder="1" applyAlignment="1">
      <alignment horizontal="right" vertical="center"/>
    </xf>
    <xf numFmtId="3" fontId="29" fillId="25" borderId="118" xfId="4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0" fontId="17" fillId="0" borderId="25" xfId="4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3" fontId="7" fillId="23" borderId="117" xfId="0" applyNumberFormat="1" applyFont="1" applyFill="1" applyBorder="1" applyAlignment="1">
      <alignment vertical="center"/>
    </xf>
    <xf numFmtId="0" fontId="17" fillId="0" borderId="52" xfId="4" applyFont="1" applyFill="1" applyBorder="1" applyAlignment="1">
      <alignment horizontal="center"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7" fillId="26" borderId="78" xfId="4" applyNumberFormat="1" applyFont="1" applyFill="1" applyBorder="1" applyAlignment="1">
      <alignment horizontal="center" vertical="center"/>
    </xf>
    <xf numFmtId="0" fontId="41" fillId="0" borderId="40" xfId="0" applyFont="1" applyBorder="1" applyAlignment="1">
      <alignment horizontal="center" vertical="center" wrapText="1"/>
    </xf>
    <xf numFmtId="0" fontId="18" fillId="0" borderId="46" xfId="4" applyFont="1" applyFill="1" applyBorder="1" applyAlignment="1">
      <alignment vertical="center" wrapText="1"/>
    </xf>
    <xf numFmtId="3" fontId="31" fillId="25" borderId="23" xfId="4" applyNumberFormat="1" applyFont="1" applyFill="1" applyBorder="1" applyAlignment="1">
      <alignment horizontal="right" vertical="center"/>
    </xf>
    <xf numFmtId="0" fontId="18" fillId="0" borderId="41" xfId="4" applyFont="1" applyFill="1" applyBorder="1" applyAlignment="1">
      <alignment vertical="center" wrapText="1"/>
    </xf>
    <xf numFmtId="3" fontId="33" fillId="0" borderId="23" xfId="6" applyNumberFormat="1" applyFont="1" applyFill="1" applyBorder="1" applyAlignment="1">
      <alignment vertical="center"/>
    </xf>
    <xf numFmtId="3" fontId="27" fillId="25" borderId="23" xfId="4" applyNumberFormat="1" applyFont="1" applyFill="1" applyBorder="1" applyAlignment="1">
      <alignment horizontal="right" vertical="center"/>
    </xf>
    <xf numFmtId="3" fontId="31" fillId="0" borderId="109" xfId="4" applyNumberFormat="1" applyFont="1" applyFill="1" applyBorder="1" applyAlignment="1">
      <alignment vertical="center"/>
    </xf>
    <xf numFmtId="0" fontId="27" fillId="2" borderId="32" xfId="4" applyFont="1" applyFill="1" applyBorder="1" applyAlignment="1">
      <alignment vertical="center"/>
    </xf>
    <xf numFmtId="0" fontId="0" fillId="0" borderId="125" xfId="0" applyFont="1" applyBorder="1" applyAlignment="1">
      <alignment vertical="center"/>
    </xf>
    <xf numFmtId="0" fontId="41" fillId="0" borderId="125" xfId="0" applyFont="1" applyBorder="1"/>
    <xf numFmtId="0" fontId="0" fillId="0" borderId="127" xfId="0" applyFont="1" applyBorder="1"/>
    <xf numFmtId="0" fontId="68" fillId="8" borderId="20" xfId="4" applyFont="1" applyFill="1" applyBorder="1" applyAlignment="1">
      <alignment vertical="center" wrapText="1"/>
    </xf>
    <xf numFmtId="3" fontId="68" fillId="8" borderId="29" xfId="0" applyNumberFormat="1" applyFont="1" applyFill="1" applyBorder="1" applyAlignment="1">
      <alignment vertical="center" wrapText="1"/>
    </xf>
    <xf numFmtId="43" fontId="68" fillId="8" borderId="29" xfId="1" applyFont="1" applyFill="1" applyBorder="1" applyAlignment="1">
      <alignment vertical="center" wrapText="1"/>
    </xf>
    <xf numFmtId="3" fontId="68" fillId="8" borderId="34" xfId="0" applyNumberFormat="1" applyFont="1" applyFill="1" applyBorder="1" applyAlignment="1">
      <alignment vertical="center" wrapText="1"/>
    </xf>
    <xf numFmtId="43" fontId="68" fillId="9" borderId="34" xfId="1" applyFont="1" applyFill="1" applyBorder="1" applyAlignment="1">
      <alignment vertical="center" wrapText="1"/>
    </xf>
    <xf numFmtId="3" fontId="8" fillId="0" borderId="0" xfId="0" applyNumberFormat="1" applyFont="1" applyFill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24" fillId="22" borderId="104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3" fontId="32" fillId="0" borderId="105" xfId="6" applyNumberFormat="1" applyFont="1" applyFill="1" applyBorder="1" applyAlignment="1">
      <alignment vertical="center"/>
    </xf>
    <xf numFmtId="43" fontId="33" fillId="0" borderId="105" xfId="1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center" vertical="center"/>
    </xf>
    <xf numFmtId="43" fontId="7" fillId="0" borderId="105" xfId="1" applyFont="1" applyFill="1" applyBorder="1" applyAlignment="1">
      <alignment horizontal="right" vertical="center"/>
    </xf>
    <xf numFmtId="43" fontId="31" fillId="25" borderId="105" xfId="1" applyFont="1" applyFill="1" applyBorder="1" applyAlignment="1">
      <alignment horizontal="right" vertical="center"/>
    </xf>
    <xf numFmtId="43" fontId="31" fillId="0" borderId="105" xfId="1" applyFont="1" applyFill="1" applyBorder="1" applyAlignment="1">
      <alignment horizontal="right" vertical="center"/>
    </xf>
    <xf numFmtId="0" fontId="31" fillId="0" borderId="108" xfId="4" applyFont="1" applyFill="1" applyBorder="1" applyAlignment="1">
      <alignment vertical="center"/>
    </xf>
    <xf numFmtId="43" fontId="24" fillId="6" borderId="105" xfId="1" applyFont="1" applyFill="1" applyBorder="1" applyAlignment="1">
      <alignment vertical="center"/>
    </xf>
    <xf numFmtId="3" fontId="29" fillId="2" borderId="105" xfId="4" applyNumberFormat="1" applyFont="1" applyFill="1" applyBorder="1" applyAlignment="1">
      <alignment vertical="center"/>
    </xf>
    <xf numFmtId="3" fontId="27" fillId="2" borderId="105" xfId="4" applyNumberFormat="1" applyFont="1" applyFill="1" applyBorder="1" applyAlignment="1">
      <alignment vertical="center"/>
    </xf>
    <xf numFmtId="43" fontId="29" fillId="2" borderId="105" xfId="1" applyFont="1" applyFill="1" applyBorder="1" applyAlignment="1">
      <alignment vertical="center"/>
    </xf>
    <xf numFmtId="3" fontId="31" fillId="2" borderId="72" xfId="4" applyNumberFormat="1" applyFont="1" applyFill="1" applyBorder="1" applyAlignment="1">
      <alignment vertical="center"/>
    </xf>
    <xf numFmtId="3" fontId="31" fillId="2" borderId="74" xfId="4" applyNumberFormat="1" applyFont="1" applyFill="1" applyBorder="1" applyAlignment="1">
      <alignment vertical="center"/>
    </xf>
    <xf numFmtId="43" fontId="24" fillId="8" borderId="2" xfId="1" applyFont="1" applyFill="1" applyBorder="1" applyAlignment="1">
      <alignment horizontal="right" vertical="center"/>
    </xf>
    <xf numFmtId="43" fontId="23" fillId="6" borderId="93" xfId="1" applyFont="1" applyFill="1" applyBorder="1" applyAlignment="1">
      <alignment horizontal="right" vertical="center"/>
    </xf>
    <xf numFmtId="3" fontId="25" fillId="22" borderId="93" xfId="4" applyNumberFormat="1" applyFont="1" applyFill="1" applyBorder="1" applyAlignment="1">
      <alignment horizontal="right" vertical="center"/>
    </xf>
    <xf numFmtId="43" fontId="31" fillId="0" borderId="93" xfId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43" fontId="23" fillId="6" borderId="91" xfId="1" applyFont="1" applyFill="1" applyBorder="1" applyAlignment="1">
      <alignment horizontal="right" vertical="center"/>
    </xf>
    <xf numFmtId="43" fontId="33" fillId="0" borderId="95" xfId="1" applyFont="1" applyFill="1" applyBorder="1" applyAlignment="1">
      <alignment horizontal="right" vertical="center"/>
    </xf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8" borderId="35" xfId="4" applyNumberFormat="1" applyFont="1" applyFill="1" applyBorder="1" applyAlignment="1"/>
    <xf numFmtId="3" fontId="24" fillId="22" borderId="35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vertical="center"/>
    </xf>
    <xf numFmtId="3" fontId="7" fillId="0" borderId="131" xfId="4" applyNumberFormat="1" applyFont="1" applyFill="1" applyBorder="1" applyAlignment="1">
      <alignment horizontal="right" vertical="center"/>
    </xf>
    <xf numFmtId="3" fontId="31" fillId="0" borderId="131" xfId="4" applyNumberFormat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0" fontId="27" fillId="55" borderId="17" xfId="4" applyFont="1" applyFill="1" applyBorder="1" applyAlignment="1">
      <alignment horizontal="left" vertical="center"/>
    </xf>
    <xf numFmtId="3" fontId="32" fillId="8" borderId="37" xfId="6" applyNumberFormat="1" applyFont="1" applyFill="1" applyBorder="1" applyAlignment="1">
      <alignment vertical="center"/>
    </xf>
    <xf numFmtId="3" fontId="27" fillId="2" borderId="31" xfId="4" applyNumberFormat="1" applyFont="1" applyFill="1" applyBorder="1" applyAlignment="1">
      <alignment vertical="center" wrapText="1"/>
    </xf>
    <xf numFmtId="0" fontId="24" fillId="6" borderId="135" xfId="4" applyFont="1" applyFill="1" applyBorder="1" applyAlignment="1">
      <alignment horizontal="left" vertical="center"/>
    </xf>
    <xf numFmtId="3" fontId="25" fillId="8" borderId="70" xfId="0" applyNumberFormat="1" applyFont="1" applyFill="1" applyBorder="1" applyAlignment="1">
      <alignment vertical="top"/>
    </xf>
    <xf numFmtId="3" fontId="31" fillId="0" borderId="137" xfId="0" applyNumberFormat="1" applyFont="1" applyFill="1" applyBorder="1" applyAlignment="1">
      <alignment vertical="top"/>
    </xf>
    <xf numFmtId="0" fontId="24" fillId="6" borderId="142" xfId="4" applyFont="1" applyFill="1" applyBorder="1" applyAlignment="1">
      <alignment horizontal="left" vertical="center"/>
    </xf>
    <xf numFmtId="3" fontId="31" fillId="0" borderId="137" xfId="0" applyNumberFormat="1" applyFont="1" applyFill="1" applyBorder="1" applyAlignment="1">
      <alignment vertical="center"/>
    </xf>
    <xf numFmtId="3" fontId="31" fillId="2" borderId="137" xfId="0" applyNumberFormat="1" applyFont="1" applyFill="1" applyBorder="1" applyAlignment="1">
      <alignment vertical="center"/>
    </xf>
    <xf numFmtId="3" fontId="27" fillId="0" borderId="137" xfId="0" applyNumberFormat="1" applyFont="1" applyFill="1" applyBorder="1" applyAlignment="1">
      <alignment vertical="top"/>
    </xf>
    <xf numFmtId="3" fontId="25" fillId="6" borderId="137" xfId="0" applyNumberFormat="1" applyFont="1" applyFill="1" applyBorder="1" applyAlignment="1">
      <alignment vertical="center"/>
    </xf>
    <xf numFmtId="3" fontId="25" fillId="6" borderId="139" xfId="0" applyNumberFormat="1" applyFont="1" applyFill="1" applyBorder="1" applyAlignment="1">
      <alignment vertical="center"/>
    </xf>
    <xf numFmtId="3" fontId="7" fillId="0" borderId="139" xfId="4" applyNumberFormat="1" applyFont="1" applyFill="1" applyBorder="1" applyAlignment="1">
      <alignment horizontal="right" vertical="center"/>
    </xf>
    <xf numFmtId="0" fontId="0" fillId="0" borderId="139" xfId="0" applyFont="1" applyBorder="1"/>
    <xf numFmtId="3" fontId="0" fillId="0" borderId="139" xfId="0" applyNumberFormat="1" applyFont="1" applyBorder="1"/>
    <xf numFmtId="0" fontId="41" fillId="0" borderId="139" xfId="0" applyFont="1" applyBorder="1"/>
    <xf numFmtId="3" fontId="0" fillId="56" borderId="139" xfId="0" applyNumberFormat="1" applyFont="1" applyFill="1" applyBorder="1"/>
    <xf numFmtId="0" fontId="0" fillId="0" borderId="139" xfId="0" applyFont="1" applyBorder="1" applyAlignment="1">
      <alignment vertical="center"/>
    </xf>
    <xf numFmtId="0" fontId="17" fillId="8" borderId="141" xfId="4" applyFont="1" applyFill="1" applyBorder="1" applyAlignment="1">
      <alignment vertical="top"/>
    </xf>
    <xf numFmtId="0" fontId="25" fillId="6" borderId="137" xfId="4" applyFont="1" applyFill="1" applyBorder="1" applyAlignment="1">
      <alignment horizontal="left" vertical="center"/>
    </xf>
    <xf numFmtId="0" fontId="18" fillId="8" borderId="140" xfId="4" applyFont="1" applyFill="1" applyBorder="1" applyAlignment="1">
      <alignment horizontal="center" vertical="center"/>
    </xf>
    <xf numFmtId="0" fontId="7" fillId="8" borderId="131" xfId="4" applyFont="1" applyFill="1" applyBorder="1" applyAlignment="1">
      <alignment vertical="center"/>
    </xf>
    <xf numFmtId="3" fontId="32" fillId="8" borderId="131" xfId="6" applyNumberFormat="1" applyFont="1" applyFill="1" applyBorder="1" applyAlignment="1">
      <alignment vertical="center"/>
    </xf>
    <xf numFmtId="3" fontId="18" fillId="8" borderId="133" xfId="4" applyNumberFormat="1" applyFont="1" applyFill="1" applyBorder="1" applyAlignment="1">
      <alignment horizontal="center" vertical="top"/>
    </xf>
    <xf numFmtId="3" fontId="25" fillId="22" borderId="137" xfId="4" applyNumberFormat="1" applyFont="1" applyFill="1" applyBorder="1" applyAlignment="1">
      <alignment horizontal="right" vertical="center"/>
    </xf>
    <xf numFmtId="3" fontId="29" fillId="0" borderId="137" xfId="4" applyNumberFormat="1" applyFont="1" applyFill="1" applyBorder="1" applyAlignment="1">
      <alignment horizontal="right" vertical="center"/>
    </xf>
    <xf numFmtId="3" fontId="7" fillId="0" borderId="137" xfId="4" applyNumberFormat="1" applyFont="1" applyFill="1" applyBorder="1" applyAlignment="1">
      <alignment horizontal="right" vertical="center"/>
    </xf>
    <xf numFmtId="0" fontId="32" fillId="0" borderId="137" xfId="0" applyFont="1" applyBorder="1"/>
    <xf numFmtId="3" fontId="31" fillId="23" borderId="137" xfId="0" applyNumberFormat="1" applyFont="1" applyFill="1" applyBorder="1" applyAlignment="1">
      <alignment vertical="center"/>
    </xf>
    <xf numFmtId="3" fontId="24" fillId="6" borderId="137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61" fillId="0" borderId="0" xfId="0" applyFont="1" applyFill="1" applyBorder="1" applyAlignment="1">
      <alignment vertical="top"/>
    </xf>
    <xf numFmtId="0" fontId="61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3" fontId="29" fillId="0" borderId="139" xfId="4" applyNumberFormat="1" applyFont="1" applyFill="1" applyBorder="1" applyAlignment="1">
      <alignment horizontal="right" vertical="center"/>
    </xf>
    <xf numFmtId="3" fontId="29" fillId="25" borderId="137" xfId="4" applyNumberFormat="1" applyFont="1" applyFill="1" applyBorder="1" applyAlignment="1">
      <alignment horizontal="right" vertical="center"/>
    </xf>
    <xf numFmtId="3" fontId="7" fillId="0" borderId="148" xfId="4" applyNumberFormat="1" applyFont="1" applyFill="1" applyBorder="1" applyAlignment="1">
      <alignment horizontal="right" vertical="center"/>
    </xf>
    <xf numFmtId="3" fontId="25" fillId="22" borderId="137" xfId="0" applyNumberFormat="1" applyFont="1" applyFill="1" applyBorder="1" applyAlignment="1">
      <alignment vertical="center"/>
    </xf>
    <xf numFmtId="0" fontId="25" fillId="6" borderId="128" xfId="4" applyFont="1" applyFill="1" applyBorder="1" applyAlignment="1">
      <alignment horizontal="left" vertical="center"/>
    </xf>
    <xf numFmtId="0" fontId="21" fillId="0" borderId="67" xfId="0" applyFont="1" applyBorder="1" applyAlignment="1">
      <alignment vertical="top"/>
    </xf>
    <xf numFmtId="0" fontId="0" fillId="0" borderId="68" xfId="0" applyFont="1" applyBorder="1" applyAlignment="1">
      <alignment horizontal="center" vertical="center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wrapText="1"/>
    </xf>
    <xf numFmtId="0" fontId="61" fillId="2" borderId="0" xfId="0" applyFont="1" applyFill="1" applyBorder="1" applyAlignment="1">
      <alignment vertical="top"/>
    </xf>
    <xf numFmtId="0" fontId="61" fillId="2" borderId="0" xfId="0" applyFont="1" applyFill="1" applyBorder="1" applyAlignment="1"/>
    <xf numFmtId="0" fontId="42" fillId="2" borderId="0" xfId="0" applyFont="1" applyFill="1" applyBorder="1" applyAlignment="1"/>
    <xf numFmtId="3" fontId="61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37" xfId="0" applyNumberFormat="1" applyFont="1" applyFill="1" applyBorder="1" applyAlignment="1">
      <alignment vertical="top"/>
    </xf>
    <xf numFmtId="3" fontId="31" fillId="23" borderId="137" xfId="0" applyNumberFormat="1" applyFont="1" applyFill="1" applyBorder="1" applyAlignment="1">
      <alignment horizontal="center" vertical="top"/>
    </xf>
    <xf numFmtId="3" fontId="25" fillId="6" borderId="137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37" xfId="0" applyNumberFormat="1" applyFont="1" applyFill="1" applyBorder="1" applyAlignment="1">
      <alignment vertical="top"/>
    </xf>
    <xf numFmtId="3" fontId="27" fillId="2" borderId="137" xfId="4" applyNumberFormat="1" applyFont="1" applyFill="1" applyBorder="1" applyAlignment="1">
      <alignment vertical="top" wrapText="1"/>
    </xf>
    <xf numFmtId="3" fontId="25" fillId="25" borderId="137" xfId="0" applyNumberFormat="1" applyFont="1" applyFill="1" applyBorder="1" applyAlignment="1">
      <alignment vertical="top"/>
    </xf>
    <xf numFmtId="3" fontId="31" fillId="0" borderId="131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31" fillId="0" borderId="131" xfId="4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25" fillId="8" borderId="70" xfId="0" applyFont="1" applyFill="1" applyBorder="1" applyAlignment="1">
      <alignment vertical="center" wrapText="1"/>
    </xf>
    <xf numFmtId="0" fontId="25" fillId="8" borderId="70" xfId="0" applyFont="1" applyFill="1" applyBorder="1" applyAlignment="1">
      <alignment horizontal="center" vertical="center" wrapText="1"/>
    </xf>
    <xf numFmtId="0" fontId="31" fillId="6" borderId="137" xfId="0" applyFont="1" applyFill="1" applyBorder="1" applyAlignment="1">
      <alignment vertical="top"/>
    </xf>
    <xf numFmtId="3" fontId="31" fillId="2" borderId="137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horizontal="center" vertical="top"/>
    </xf>
    <xf numFmtId="0" fontId="32" fillId="0" borderId="137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27" fillId="0" borderId="137" xfId="4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vertical="center"/>
    </xf>
    <xf numFmtId="3" fontId="31" fillId="0" borderId="131" xfId="0" applyNumberFormat="1" applyFont="1" applyFill="1" applyBorder="1" applyAlignment="1">
      <alignment vertical="center"/>
    </xf>
    <xf numFmtId="0" fontId="31" fillId="8" borderId="70" xfId="0" applyFont="1" applyFill="1" applyBorder="1" applyAlignment="1">
      <alignment vertical="top"/>
    </xf>
    <xf numFmtId="3" fontId="31" fillId="8" borderId="70" xfId="0" applyNumberFormat="1" applyFont="1" applyFill="1" applyBorder="1" applyAlignment="1">
      <alignment vertical="top"/>
    </xf>
    <xf numFmtId="3" fontId="31" fillId="8" borderId="2" xfId="0" applyNumberFormat="1" applyFont="1" applyFill="1" applyBorder="1" applyAlignment="1">
      <alignment vertical="top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37" xfId="4" applyNumberFormat="1" applyFont="1" applyFill="1" applyBorder="1" applyAlignment="1">
      <alignment vertical="center" wrapText="1"/>
    </xf>
    <xf numFmtId="3" fontId="31" fillId="25" borderId="137" xfId="0" applyNumberFormat="1" applyFont="1" applyFill="1" applyBorder="1" applyAlignment="1">
      <alignment horizontal="center" vertical="top"/>
    </xf>
    <xf numFmtId="3" fontId="25" fillId="0" borderId="137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0" fontId="32" fillId="0" borderId="131" xfId="0" applyFont="1" applyBorder="1" applyAlignment="1">
      <alignment vertical="center"/>
    </xf>
    <xf numFmtId="3" fontId="31" fillId="23" borderId="2" xfId="0" applyNumberFormat="1" applyFont="1" applyFill="1" applyBorder="1" applyAlignment="1">
      <alignment vertical="top"/>
    </xf>
    <xf numFmtId="3" fontId="27" fillId="25" borderId="137" xfId="0" applyNumberFormat="1" applyFont="1" applyFill="1" applyBorder="1" applyAlignment="1">
      <alignment vertical="top"/>
    </xf>
    <xf numFmtId="0" fontId="31" fillId="0" borderId="137" xfId="0" applyFont="1" applyFill="1" applyBorder="1" applyAlignment="1">
      <alignment vertical="top" wrapText="1"/>
    </xf>
    <xf numFmtId="3" fontId="25" fillId="0" borderId="35" xfId="0" applyNumberFormat="1" applyFont="1" applyFill="1" applyBorder="1" applyAlignment="1">
      <alignment vertical="top"/>
    </xf>
    <xf numFmtId="0" fontId="31" fillId="2" borderId="137" xfId="4" applyFont="1" applyFill="1" applyBorder="1" applyAlignment="1">
      <alignment vertical="center"/>
    </xf>
    <xf numFmtId="0" fontId="23" fillId="6" borderId="137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31" xfId="4" applyFont="1" applyFill="1" applyBorder="1" applyAlignment="1">
      <alignment vertical="center"/>
    </xf>
    <xf numFmtId="0" fontId="31" fillId="0" borderId="137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7" fillId="0" borderId="137" xfId="0" applyFont="1" applyFill="1" applyBorder="1" applyAlignment="1">
      <alignment vertical="top" wrapText="1"/>
    </xf>
    <xf numFmtId="3" fontId="25" fillId="2" borderId="137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6" xfId="0" applyFont="1" applyBorder="1" applyAlignment="1">
      <alignment vertical="top"/>
    </xf>
    <xf numFmtId="0" fontId="21" fillId="0" borderId="66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0" fontId="20" fillId="0" borderId="68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9" xfId="0" applyFont="1" applyBorder="1" applyAlignment="1">
      <alignment vertical="top"/>
    </xf>
    <xf numFmtId="0" fontId="21" fillId="0" borderId="69" xfId="0" applyFont="1" applyBorder="1" applyAlignment="1">
      <alignment horizontal="center" vertical="top" wrapText="1"/>
    </xf>
    <xf numFmtId="3" fontId="27" fillId="25" borderId="139" xfId="4" applyNumberFormat="1" applyFont="1" applyFill="1" applyBorder="1" applyAlignment="1">
      <alignment horizontal="right" vertical="center"/>
    </xf>
    <xf numFmtId="3" fontId="31" fillId="25" borderId="139" xfId="4" applyNumberFormat="1" applyFont="1" applyFill="1" applyBorder="1" applyAlignment="1">
      <alignment horizontal="right" vertical="center"/>
    </xf>
    <xf numFmtId="3" fontId="7" fillId="0" borderId="136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3" fontId="8" fillId="6" borderId="139" xfId="0" applyNumberFormat="1" applyFont="1" applyFill="1" applyBorder="1"/>
    <xf numFmtId="3" fontId="8" fillId="6" borderId="136" xfId="0" applyNumberFormat="1" applyFont="1" applyFill="1" applyBorder="1"/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0" fontId="26" fillId="0" borderId="12" xfId="114" applyFont="1" applyBorder="1" applyAlignment="1">
      <alignment horizontal="center" vertical="center"/>
    </xf>
    <xf numFmtId="3" fontId="27" fillId="21" borderId="138" xfId="4" applyNumberFormat="1" applyFont="1" applyFill="1" applyBorder="1" applyAlignment="1">
      <alignment horizontal="right" vertical="center"/>
    </xf>
    <xf numFmtId="3" fontId="32" fillId="8" borderId="139" xfId="114" applyNumberFormat="1" applyFont="1" applyFill="1" applyBorder="1" applyAlignment="1">
      <alignment vertical="center"/>
    </xf>
    <xf numFmtId="0" fontId="31" fillId="8" borderId="135" xfId="4" applyFont="1" applyFill="1" applyBorder="1" applyAlignment="1">
      <alignment vertical="center"/>
    </xf>
    <xf numFmtId="3" fontId="24" fillId="6" borderId="139" xfId="4" applyNumberFormat="1" applyFont="1" applyFill="1" applyBorder="1" applyAlignment="1">
      <alignment horizontal="right" vertical="center"/>
    </xf>
    <xf numFmtId="0" fontId="27" fillId="8" borderId="142" xfId="4" applyFont="1" applyFill="1" applyBorder="1" applyAlignment="1">
      <alignment vertical="center"/>
    </xf>
    <xf numFmtId="0" fontId="27" fillId="8" borderId="128" xfId="4" applyFont="1" applyFill="1" applyBorder="1" applyAlignment="1">
      <alignment vertical="center"/>
    </xf>
    <xf numFmtId="3" fontId="33" fillId="8" borderId="139" xfId="114" applyNumberFormat="1" applyFont="1" applyFill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0" fontId="31" fillId="8" borderId="128" xfId="4" applyFont="1" applyFill="1" applyBorder="1" applyAlignment="1">
      <alignment vertical="center"/>
    </xf>
    <xf numFmtId="3" fontId="31" fillId="8" borderId="137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17" fillId="8" borderId="11" xfId="4" applyFont="1" applyFill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vertical="center"/>
    </xf>
    <xf numFmtId="0" fontId="31" fillId="8" borderId="12" xfId="4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38" xfId="4" applyNumberFormat="1" applyFont="1" applyFill="1" applyBorder="1" applyAlignment="1">
      <alignment horizontal="right" vertical="center"/>
    </xf>
    <xf numFmtId="3" fontId="29" fillId="0" borderId="136" xfId="4" applyNumberFormat="1" applyFont="1" applyFill="1" applyBorder="1" applyAlignment="1">
      <alignment horizontal="right" vertical="center"/>
    </xf>
    <xf numFmtId="3" fontId="29" fillId="0" borderId="138" xfId="4" applyNumberFormat="1" applyFont="1" applyFill="1" applyBorder="1" applyAlignment="1">
      <alignment horizontal="right" vertical="center"/>
    </xf>
    <xf numFmtId="3" fontId="33" fillId="0" borderId="137" xfId="114" applyNumberFormat="1" applyFont="1" applyFill="1" applyBorder="1" applyAlignment="1">
      <alignment vertical="center"/>
    </xf>
    <xf numFmtId="3" fontId="27" fillId="0" borderId="136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29" fillId="2" borderId="137" xfId="4" applyNumberFormat="1" applyFont="1" applyFill="1" applyBorder="1" applyAlignment="1">
      <alignment horizontal="right" vertical="center"/>
    </xf>
    <xf numFmtId="3" fontId="27" fillId="2" borderId="137" xfId="4" applyNumberFormat="1" applyFont="1" applyFill="1" applyBorder="1" applyAlignment="1">
      <alignment horizontal="right" vertical="center"/>
    </xf>
    <xf numFmtId="3" fontId="33" fillId="0" borderId="139" xfId="114" applyNumberFormat="1" applyFont="1" applyFill="1" applyBorder="1" applyAlignment="1">
      <alignment vertical="center"/>
    </xf>
    <xf numFmtId="3" fontId="31" fillId="0" borderId="131" xfId="112" applyNumberFormat="1" applyFont="1" applyFill="1" applyBorder="1" applyAlignment="1">
      <alignment vertical="center"/>
    </xf>
    <xf numFmtId="3" fontId="32" fillId="0" borderId="137" xfId="114" applyNumberFormat="1" applyFont="1" applyFill="1" applyBorder="1" applyAlignment="1">
      <alignment vertical="center"/>
    </xf>
    <xf numFmtId="3" fontId="33" fillId="0" borderId="9" xfId="114" applyNumberFormat="1" applyFont="1" applyFill="1" applyBorder="1" applyAlignment="1">
      <alignment vertical="center"/>
    </xf>
    <xf numFmtId="0" fontId="24" fillId="32" borderId="142" xfId="4" applyFont="1" applyFill="1" applyBorder="1" applyAlignment="1">
      <alignment horizontal="left" vertical="center"/>
    </xf>
    <xf numFmtId="0" fontId="25" fillId="32" borderId="141" xfId="4" applyFont="1" applyFill="1" applyBorder="1" applyAlignment="1">
      <alignment horizontal="left" vertical="center"/>
    </xf>
    <xf numFmtId="3" fontId="27" fillId="8" borderId="137" xfId="0" applyNumberFormat="1" applyFont="1" applyFill="1" applyBorder="1" applyAlignment="1">
      <alignment vertical="center"/>
    </xf>
    <xf numFmtId="3" fontId="27" fillId="23" borderId="137" xfId="0" applyNumberFormat="1" applyFont="1" applyFill="1" applyBorder="1" applyAlignment="1">
      <alignment vertical="center"/>
    </xf>
    <xf numFmtId="3" fontId="31" fillId="28" borderId="137" xfId="0" applyNumberFormat="1" applyFont="1" applyFill="1" applyBorder="1" applyAlignment="1">
      <alignment vertical="center"/>
    </xf>
    <xf numFmtId="43" fontId="25" fillId="6" borderId="139" xfId="1" applyFont="1" applyFill="1" applyBorder="1" applyAlignment="1">
      <alignment vertical="center"/>
    </xf>
    <xf numFmtId="3" fontId="25" fillId="22" borderId="139" xfId="0" applyNumberFormat="1" applyFont="1" applyFill="1" applyBorder="1" applyAlignment="1">
      <alignment vertical="center"/>
    </xf>
    <xf numFmtId="3" fontId="27" fillId="2" borderId="135" xfId="4" applyNumberFormat="1" applyFont="1" applyFill="1" applyBorder="1" applyAlignment="1">
      <alignment vertical="center" wrapText="1"/>
    </xf>
    <xf numFmtId="3" fontId="27" fillId="0" borderId="139" xfId="0" applyNumberFormat="1" applyFont="1" applyFill="1" applyBorder="1" applyAlignment="1">
      <alignment vertical="center"/>
    </xf>
    <xf numFmtId="43" fontId="27" fillId="0" borderId="139" xfId="1" applyFont="1" applyFill="1" applyBorder="1" applyAlignment="1">
      <alignment vertical="center"/>
    </xf>
    <xf numFmtId="3" fontId="27" fillId="25" borderId="139" xfId="0" applyNumberFormat="1" applyFont="1" applyFill="1" applyBorder="1" applyAlignment="1">
      <alignment vertical="center"/>
    </xf>
    <xf numFmtId="0" fontId="31" fillId="0" borderId="77" xfId="0" applyFont="1" applyFill="1" applyBorder="1" applyAlignment="1">
      <alignment vertical="center"/>
    </xf>
    <xf numFmtId="3" fontId="31" fillId="0" borderId="148" xfId="0" applyNumberFormat="1" applyFont="1" applyFill="1" applyBorder="1" applyAlignment="1">
      <alignment vertical="center"/>
    </xf>
    <xf numFmtId="43" fontId="31" fillId="0" borderId="131" xfId="1" applyFont="1" applyFill="1" applyBorder="1" applyAlignment="1">
      <alignment vertical="center"/>
    </xf>
    <xf numFmtId="0" fontId="24" fillId="8" borderId="87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 wrapText="1"/>
    </xf>
    <xf numFmtId="3" fontId="29" fillId="2" borderId="30" xfId="4" applyNumberFormat="1" applyFont="1" applyFill="1" applyBorder="1" applyAlignment="1">
      <alignment horizontal="right" vertical="center"/>
    </xf>
    <xf numFmtId="3" fontId="29" fillId="0" borderId="63" xfId="4" applyNumberFormat="1" applyFont="1" applyFill="1" applyBorder="1" applyAlignment="1">
      <alignment horizontal="right" vertical="center"/>
    </xf>
    <xf numFmtId="0" fontId="25" fillId="6" borderId="29" xfId="4" applyFont="1" applyFill="1" applyBorder="1" applyAlignment="1">
      <alignment horizontal="left" vertical="center"/>
    </xf>
    <xf numFmtId="0" fontId="0" fillId="0" borderId="24" xfId="0" applyFont="1" applyBorder="1"/>
    <xf numFmtId="0" fontId="24" fillId="8" borderId="45" xfId="0" applyFont="1" applyFill="1" applyBorder="1" applyAlignment="1">
      <alignment vertical="center" wrapText="1"/>
    </xf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/>
    </xf>
    <xf numFmtId="43" fontId="23" fillId="6" borderId="105" xfId="1" applyFont="1" applyFill="1" applyBorder="1" applyAlignment="1">
      <alignment horizontal="right" vertical="center"/>
    </xf>
    <xf numFmtId="43" fontId="33" fillId="0" borderId="105" xfId="1" applyFont="1" applyFill="1" applyBorder="1" applyAlignment="1">
      <alignment horizontal="right" vertical="center"/>
    </xf>
    <xf numFmtId="43" fontId="24" fillId="8" borderId="70" xfId="1" applyFont="1" applyFill="1" applyBorder="1" applyAlignment="1">
      <alignment horizontal="right" vertical="center"/>
    </xf>
    <xf numFmtId="3" fontId="25" fillId="22" borderId="172" xfId="4" applyNumberFormat="1" applyFont="1" applyFill="1" applyBorder="1" applyAlignment="1">
      <alignment horizontal="right" vertical="center"/>
    </xf>
    <xf numFmtId="3" fontId="27" fillId="25" borderId="172" xfId="4" applyNumberFormat="1" applyFont="1" applyFill="1" applyBorder="1" applyAlignment="1">
      <alignment horizontal="right" vertical="center"/>
    </xf>
    <xf numFmtId="3" fontId="23" fillId="6" borderId="172" xfId="6" applyNumberFormat="1" applyFont="1" applyFill="1" applyBorder="1" applyAlignment="1">
      <alignment horizontal="right" vertical="center"/>
    </xf>
    <xf numFmtId="3" fontId="33" fillId="0" borderId="172" xfId="6" applyNumberFormat="1" applyFont="1" applyFill="1" applyBorder="1" applyAlignment="1">
      <alignment horizontal="right" vertical="center"/>
    </xf>
    <xf numFmtId="3" fontId="31" fillId="0" borderId="172" xfId="4" applyNumberFormat="1" applyFont="1" applyFill="1" applyBorder="1" applyAlignment="1">
      <alignment horizontal="right" vertical="center"/>
    </xf>
    <xf numFmtId="3" fontId="33" fillId="0" borderId="172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71" xfId="0" applyNumberFormat="1" applyFont="1" applyFill="1" applyBorder="1" applyAlignment="1">
      <alignment horizontal="right" vertical="center"/>
    </xf>
    <xf numFmtId="3" fontId="31" fillId="0" borderId="74" xfId="0" applyNumberFormat="1" applyFont="1" applyFill="1" applyBorder="1" applyAlignment="1">
      <alignment horizontal="right" vertical="center"/>
    </xf>
    <xf numFmtId="3" fontId="31" fillId="0" borderId="75" xfId="0" applyNumberFormat="1" applyFont="1" applyFill="1" applyBorder="1" applyAlignment="1">
      <alignment horizontal="right" vertical="center"/>
    </xf>
    <xf numFmtId="3" fontId="24" fillId="22" borderId="70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vertical="top"/>
    </xf>
    <xf numFmtId="3" fontId="31" fillId="0" borderId="131" xfId="0" applyNumberFormat="1" applyFont="1" applyFill="1" applyBorder="1" applyAlignment="1">
      <alignment horizontal="right" vertical="center"/>
    </xf>
    <xf numFmtId="0" fontId="28" fillId="55" borderId="22" xfId="0" quotePrefix="1" applyFont="1" applyFill="1" applyBorder="1" applyAlignment="1">
      <alignment horizontal="center" vertical="top"/>
    </xf>
    <xf numFmtId="3" fontId="18" fillId="8" borderId="67" xfId="0" applyNumberFormat="1" applyFont="1" applyFill="1" applyBorder="1" applyAlignment="1">
      <alignment horizontal="center" vertical="top" wrapText="1"/>
    </xf>
    <xf numFmtId="3" fontId="18" fillId="8" borderId="67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35" xfId="4" applyFont="1" applyFill="1" applyBorder="1" applyAlignment="1">
      <alignment horizontal="left" vertical="center"/>
    </xf>
    <xf numFmtId="3" fontId="25" fillId="6" borderId="171" xfId="0" applyNumberFormat="1" applyFont="1" applyFill="1" applyBorder="1" applyAlignment="1">
      <alignment vertical="top"/>
    </xf>
    <xf numFmtId="43" fontId="25" fillId="6" borderId="171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77" xfId="4" applyFont="1" applyFill="1" applyBorder="1" applyAlignment="1">
      <alignment horizontal="left" vertical="center"/>
    </xf>
    <xf numFmtId="3" fontId="25" fillId="6" borderId="171" xfId="0" applyNumberFormat="1" applyFont="1" applyFill="1" applyBorder="1" applyAlignment="1"/>
    <xf numFmtId="3" fontId="29" fillId="2" borderId="135" xfId="4" applyNumberFormat="1" applyFont="1" applyFill="1" applyBorder="1" applyAlignment="1">
      <alignment vertical="center" wrapText="1"/>
    </xf>
    <xf numFmtId="3" fontId="27" fillId="2" borderId="171" xfId="0" applyNumberFormat="1" applyFont="1" applyFill="1" applyBorder="1" applyAlignment="1"/>
    <xf numFmtId="3" fontId="31" fillId="0" borderId="171" xfId="0" applyNumberFormat="1" applyFont="1" applyFill="1" applyBorder="1" applyAlignment="1">
      <alignment vertical="top"/>
    </xf>
    <xf numFmtId="3" fontId="31" fillId="0" borderId="27" xfId="0" applyNumberFormat="1" applyFont="1" applyFill="1" applyBorder="1" applyAlignment="1">
      <alignment vertical="top"/>
    </xf>
    <xf numFmtId="0" fontId="7" fillId="0" borderId="135" xfId="0" applyFont="1" applyFill="1" applyBorder="1" applyAlignment="1">
      <alignment vertical="center" wrapText="1"/>
    </xf>
    <xf numFmtId="0" fontId="29" fillId="2" borderId="135" xfId="4" applyFont="1" applyFill="1" applyBorder="1" applyAlignment="1">
      <alignment vertical="center"/>
    </xf>
    <xf numFmtId="3" fontId="27" fillId="0" borderId="171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3" fontId="31" fillId="0" borderId="138" xfId="0" applyNumberFormat="1" applyFont="1" applyFill="1" applyBorder="1" applyAlignment="1">
      <alignment vertical="top"/>
    </xf>
    <xf numFmtId="43" fontId="31" fillId="0" borderId="171" xfId="1" applyFont="1" applyFill="1" applyBorder="1" applyAlignment="1">
      <alignment vertical="center"/>
    </xf>
    <xf numFmtId="43" fontId="31" fillId="0" borderId="172" xfId="1" applyFont="1" applyFill="1" applyBorder="1" applyAlignment="1">
      <alignment vertical="center"/>
    </xf>
    <xf numFmtId="0" fontId="29" fillId="2" borderId="177" xfId="4" applyFont="1" applyFill="1" applyBorder="1" applyAlignment="1">
      <alignment vertical="center"/>
    </xf>
    <xf numFmtId="0" fontId="7" fillId="0" borderId="143" xfId="4" applyFont="1" applyFill="1" applyBorder="1" applyAlignment="1">
      <alignment vertical="center"/>
    </xf>
    <xf numFmtId="43" fontId="31" fillId="0" borderId="148" xfId="1" applyFont="1" applyFill="1" applyBorder="1" applyAlignment="1">
      <alignment vertical="center"/>
    </xf>
    <xf numFmtId="3" fontId="25" fillId="6" borderId="171" xfId="0" applyNumberFormat="1" applyFont="1" applyFill="1" applyBorder="1" applyAlignment="1">
      <alignment vertical="center"/>
    </xf>
    <xf numFmtId="43" fontId="31" fillId="0" borderId="131" xfId="1" applyFont="1" applyFill="1" applyBorder="1" applyAlignment="1">
      <alignment vertical="top"/>
    </xf>
    <xf numFmtId="3" fontId="31" fillId="2" borderId="131" xfId="0" applyNumberFormat="1" applyFont="1" applyFill="1" applyBorder="1" applyAlignment="1">
      <alignment vertical="center"/>
    </xf>
    <xf numFmtId="43" fontId="31" fillId="0" borderId="171" xfId="1" applyFont="1" applyFill="1" applyBorder="1" applyAlignment="1">
      <alignment vertical="top"/>
    </xf>
    <xf numFmtId="43" fontId="27" fillId="0" borderId="172" xfId="1" applyFont="1" applyFill="1" applyBorder="1" applyAlignment="1">
      <alignment vertical="top"/>
    </xf>
    <xf numFmtId="43" fontId="27" fillId="2" borderId="172" xfId="1" applyFont="1" applyFill="1" applyBorder="1" applyAlignment="1">
      <alignment vertical="center"/>
    </xf>
    <xf numFmtId="0" fontId="7" fillId="8" borderId="176" xfId="0" applyFont="1" applyFill="1" applyBorder="1" applyAlignment="1">
      <alignment vertical="center" wrapText="1"/>
    </xf>
    <xf numFmtId="3" fontId="29" fillId="8" borderId="171" xfId="0" applyNumberFormat="1" applyFont="1" applyFill="1" applyBorder="1" applyAlignment="1">
      <alignment vertical="center"/>
    </xf>
    <xf numFmtId="3" fontId="29" fillId="23" borderId="171" xfId="0" applyNumberFormat="1" applyFont="1" applyFill="1" applyBorder="1" applyAlignment="1">
      <alignment vertical="center"/>
    </xf>
    <xf numFmtId="3" fontId="7" fillId="28" borderId="171" xfId="0" applyNumberFormat="1" applyFont="1" applyFill="1" applyBorder="1" applyAlignment="1">
      <alignment vertical="center"/>
    </xf>
    <xf numFmtId="3" fontId="7" fillId="23" borderId="171" xfId="0" applyNumberFormat="1" applyFont="1" applyFill="1" applyBorder="1" applyAlignment="1">
      <alignment vertical="center"/>
    </xf>
    <xf numFmtId="0" fontId="29" fillId="8" borderId="135" xfId="4" applyFont="1" applyFill="1" applyBorder="1" applyAlignment="1">
      <alignment vertical="center"/>
    </xf>
    <xf numFmtId="0" fontId="24" fillId="8" borderId="176" xfId="0" applyFont="1" applyFill="1" applyBorder="1" applyAlignment="1">
      <alignment vertical="center"/>
    </xf>
    <xf numFmtId="0" fontId="7" fillId="8" borderId="145" xfId="0" applyFont="1" applyFill="1" applyBorder="1" applyAlignment="1">
      <alignment vertical="top" wrapText="1"/>
    </xf>
    <xf numFmtId="3" fontId="7" fillId="8" borderId="141" xfId="0" applyNumberFormat="1" applyFont="1" applyFill="1" applyBorder="1" applyAlignment="1">
      <alignment vertical="top" wrapText="1"/>
    </xf>
    <xf numFmtId="3" fontId="7" fillId="23" borderId="138" xfId="0" applyNumberFormat="1" applyFont="1" applyFill="1" applyBorder="1" applyAlignment="1">
      <alignment vertical="top"/>
    </xf>
    <xf numFmtId="0" fontId="7" fillId="6" borderId="176" xfId="0" applyFont="1" applyFill="1" applyBorder="1" applyAlignment="1">
      <alignment vertical="center" wrapText="1"/>
    </xf>
    <xf numFmtId="3" fontId="24" fillId="6" borderId="171" xfId="0" applyNumberFormat="1" applyFont="1" applyFill="1" applyBorder="1" applyAlignment="1">
      <alignment vertical="center"/>
    </xf>
    <xf numFmtId="3" fontId="7" fillId="28" borderId="67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7" fillId="8" borderId="25" xfId="0" applyFont="1" applyFill="1" applyBorder="1" applyAlignment="1">
      <alignment vertical="center"/>
    </xf>
    <xf numFmtId="0" fontId="7" fillId="8" borderId="145" xfId="0" applyFont="1" applyFill="1" applyBorder="1" applyAlignment="1">
      <alignment vertical="center" wrapText="1"/>
    </xf>
    <xf numFmtId="0" fontId="7" fillId="8" borderId="37" xfId="0" applyFont="1" applyFill="1" applyBorder="1" applyAlignment="1">
      <alignment vertical="center" wrapText="1"/>
    </xf>
    <xf numFmtId="3" fontId="7" fillId="28" borderId="131" xfId="0" applyNumberFormat="1" applyFont="1" applyFill="1" applyBorder="1" applyAlignment="1">
      <alignment vertical="center"/>
    </xf>
    <xf numFmtId="3" fontId="18" fillId="8" borderId="69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0" fontId="7" fillId="8" borderId="2" xfId="0" applyFont="1" applyFill="1" applyBorder="1" applyAlignment="1">
      <alignment vertical="top"/>
    </xf>
    <xf numFmtId="0" fontId="7" fillId="23" borderId="15" xfId="0" applyFont="1" applyFill="1" applyBorder="1" applyAlignment="1">
      <alignment vertical="center"/>
    </xf>
    <xf numFmtId="3" fontId="31" fillId="6" borderId="176" xfId="0" applyNumberFormat="1" applyFont="1" applyFill="1" applyBorder="1" applyAlignment="1">
      <alignment vertical="top"/>
    </xf>
    <xf numFmtId="3" fontId="25" fillId="6" borderId="172" xfId="0" applyNumberFormat="1" applyFont="1" applyFill="1" applyBorder="1" applyAlignment="1">
      <alignment vertical="top"/>
    </xf>
    <xf numFmtId="3" fontId="25" fillId="22" borderId="171" xfId="0" applyNumberFormat="1" applyFont="1" applyFill="1" applyBorder="1" applyAlignment="1">
      <alignment vertical="top"/>
    </xf>
    <xf numFmtId="3" fontId="27" fillId="2" borderId="172" xfId="0" applyNumberFormat="1" applyFont="1" applyFill="1" applyBorder="1" applyAlignment="1">
      <alignment vertical="top"/>
    </xf>
    <xf numFmtId="3" fontId="25" fillId="25" borderId="171" xfId="0" applyNumberFormat="1" applyFont="1" applyFill="1" applyBorder="1" applyAlignment="1">
      <alignment vertical="top"/>
    </xf>
    <xf numFmtId="3" fontId="31" fillId="0" borderId="172" xfId="0" applyNumberFormat="1" applyFont="1" applyFill="1" applyBorder="1" applyAlignment="1">
      <alignment vertical="top"/>
    </xf>
    <xf numFmtId="3" fontId="31" fillId="25" borderId="35" xfId="0" applyNumberFormat="1" applyFont="1" applyFill="1" applyBorder="1" applyAlignment="1">
      <alignment vertical="top"/>
    </xf>
    <xf numFmtId="0" fontId="27" fillId="2" borderId="135" xfId="4" applyFont="1" applyFill="1" applyBorder="1" applyAlignment="1">
      <alignment vertical="top"/>
    </xf>
    <xf numFmtId="3" fontId="27" fillId="0" borderId="172" xfId="0" applyNumberFormat="1" applyFont="1" applyFill="1" applyBorder="1" applyAlignment="1">
      <alignment vertical="top"/>
    </xf>
    <xf numFmtId="0" fontId="31" fillId="0" borderId="145" xfId="0" applyFont="1" applyFill="1" applyBorder="1" applyAlignment="1">
      <alignment horizontal="left" vertical="center" wrapText="1"/>
    </xf>
    <xf numFmtId="3" fontId="31" fillId="0" borderId="173" xfId="0" applyNumberFormat="1" applyFont="1" applyFill="1" applyBorder="1" applyAlignment="1">
      <alignment vertical="top"/>
    </xf>
    <xf numFmtId="0" fontId="7" fillId="6" borderId="176" xfId="0" applyFont="1" applyFill="1" applyBorder="1" applyAlignment="1">
      <alignment horizontal="left" vertical="center" wrapText="1"/>
    </xf>
    <xf numFmtId="3" fontId="25" fillId="6" borderId="138" xfId="0" applyNumberFormat="1" applyFont="1" applyFill="1" applyBorder="1" applyAlignment="1">
      <alignment vertical="top"/>
    </xf>
    <xf numFmtId="3" fontId="27" fillId="2" borderId="178" xfId="4" applyNumberFormat="1" applyFont="1" applyFill="1" applyBorder="1" applyAlignment="1">
      <alignment vertical="center" wrapText="1"/>
    </xf>
    <xf numFmtId="3" fontId="27" fillId="2" borderId="171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0" fontId="27" fillId="2" borderId="144" xfId="4" applyFont="1" applyFill="1" applyBorder="1" applyAlignment="1">
      <alignment vertical="top"/>
    </xf>
    <xf numFmtId="0" fontId="31" fillId="0" borderId="77" xfId="0" applyFont="1" applyFill="1" applyBorder="1" applyAlignment="1">
      <alignment horizontal="left" vertical="center" wrapText="1"/>
    </xf>
    <xf numFmtId="0" fontId="31" fillId="6" borderId="176" xfId="0" applyFont="1" applyFill="1" applyBorder="1" applyAlignment="1">
      <alignment vertical="top"/>
    </xf>
    <xf numFmtId="43" fontId="25" fillId="6" borderId="172" xfId="1" applyFont="1" applyFill="1" applyBorder="1" applyAlignment="1">
      <alignment vertical="top"/>
    </xf>
    <xf numFmtId="0" fontId="27" fillId="2" borderId="178" xfId="4" applyFont="1" applyFill="1" applyBorder="1" applyAlignment="1">
      <alignment vertical="top"/>
    </xf>
    <xf numFmtId="0" fontId="31" fillId="0" borderId="179" xfId="0" applyFont="1" applyFill="1" applyBorder="1" applyAlignment="1">
      <alignment horizontal="left" vertical="center" wrapText="1"/>
    </xf>
    <xf numFmtId="0" fontId="25" fillId="6" borderId="178" xfId="4" applyFont="1" applyFill="1" applyBorder="1" applyAlignment="1">
      <alignment horizontal="left" vertical="center"/>
    </xf>
    <xf numFmtId="0" fontId="31" fillId="0" borderId="180" xfId="0" applyFont="1" applyFill="1" applyBorder="1" applyAlignment="1">
      <alignment horizontal="left" vertical="center" wrapText="1"/>
    </xf>
    <xf numFmtId="3" fontId="31" fillId="0" borderId="148" xfId="0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left" vertical="top" wrapText="1"/>
    </xf>
    <xf numFmtId="0" fontId="18" fillId="2" borderId="24" xfId="0" applyFont="1" applyFill="1" applyBorder="1" applyAlignment="1">
      <alignment vertical="top"/>
    </xf>
    <xf numFmtId="0" fontId="18" fillId="30" borderId="0" xfId="0" applyFont="1" applyFill="1" applyBorder="1" applyAlignment="1">
      <alignment vertical="top"/>
    </xf>
    <xf numFmtId="0" fontId="27" fillId="55" borderId="177" xfId="4" applyFont="1" applyFill="1" applyBorder="1" applyAlignment="1">
      <alignment horizontal="left" vertical="center"/>
    </xf>
    <xf numFmtId="3" fontId="27" fillId="55" borderId="172" xfId="4" applyNumberFormat="1" applyFont="1" applyFill="1" applyBorder="1" applyAlignment="1">
      <alignment horizontal="right" vertical="center"/>
    </xf>
    <xf numFmtId="3" fontId="25" fillId="6" borderId="17" xfId="0" applyNumberFormat="1" applyFont="1" applyFill="1" applyBorder="1" applyAlignment="1">
      <alignment vertical="top"/>
    </xf>
    <xf numFmtId="3" fontId="25" fillId="22" borderId="70" xfId="0" applyNumberFormat="1" applyFont="1" applyFill="1" applyBorder="1" applyAlignment="1">
      <alignment vertical="top"/>
    </xf>
    <xf numFmtId="0" fontId="27" fillId="8" borderId="36" xfId="4" applyFont="1" applyFill="1" applyBorder="1" applyAlignment="1">
      <alignment vertical="top"/>
    </xf>
    <xf numFmtId="3" fontId="27" fillId="8" borderId="172" xfId="0" applyNumberFormat="1" applyFont="1" applyFill="1" applyBorder="1" applyAlignment="1">
      <alignment vertical="top"/>
    </xf>
    <xf numFmtId="3" fontId="27" fillId="23" borderId="171" xfId="0" applyNumberFormat="1" applyFont="1" applyFill="1" applyBorder="1" applyAlignment="1">
      <alignment vertical="top"/>
    </xf>
    <xf numFmtId="0" fontId="31" fillId="8" borderId="135" xfId="0" applyFont="1" applyFill="1" applyBorder="1" applyAlignment="1">
      <alignment vertical="top"/>
    </xf>
    <xf numFmtId="3" fontId="31" fillId="8" borderId="172" xfId="0" applyNumberFormat="1" applyFont="1" applyFill="1" applyBorder="1" applyAlignment="1">
      <alignment vertical="top"/>
    </xf>
    <xf numFmtId="3" fontId="25" fillId="23" borderId="172" xfId="0" applyNumberFormat="1" applyFont="1" applyFill="1" applyBorder="1" applyAlignment="1">
      <alignment horizontal="center" vertical="top"/>
    </xf>
    <xf numFmtId="0" fontId="31" fillId="8" borderId="135" xfId="0" applyFont="1" applyFill="1" applyBorder="1" applyAlignment="1">
      <alignment vertical="center"/>
    </xf>
    <xf numFmtId="3" fontId="31" fillId="8" borderId="172" xfId="0" applyNumberFormat="1" applyFont="1" applyFill="1" applyBorder="1" applyAlignment="1">
      <alignment vertical="center"/>
    </xf>
    <xf numFmtId="3" fontId="25" fillId="23" borderId="172" xfId="0" applyNumberFormat="1" applyFont="1" applyFill="1" applyBorder="1" applyAlignment="1">
      <alignment vertical="center"/>
    </xf>
    <xf numFmtId="0" fontId="18" fillId="30" borderId="0" xfId="0" applyFont="1" applyFill="1" applyBorder="1" applyAlignment="1">
      <alignment vertical="center"/>
    </xf>
    <xf numFmtId="3" fontId="27" fillId="8" borderId="172" xfId="0" applyNumberFormat="1" applyFont="1" applyFill="1" applyBorder="1" applyAlignment="1">
      <alignment horizontal="right" vertical="center"/>
    </xf>
    <xf numFmtId="3" fontId="27" fillId="8" borderId="171" xfId="0" applyNumberFormat="1" applyFont="1" applyFill="1" applyBorder="1" applyAlignment="1">
      <alignment horizontal="right" vertical="center"/>
    </xf>
    <xf numFmtId="3" fontId="25" fillId="23" borderId="172" xfId="0" applyNumberFormat="1" applyFont="1" applyFill="1" applyBorder="1" applyAlignment="1">
      <alignment horizontal="center" vertical="center"/>
    </xf>
    <xf numFmtId="3" fontId="20" fillId="8" borderId="67" xfId="0" applyNumberFormat="1" applyFont="1" applyFill="1" applyBorder="1" applyAlignment="1">
      <alignment horizontal="center" vertical="center" wrapText="1"/>
    </xf>
    <xf numFmtId="3" fontId="31" fillId="8" borderId="171" xfId="0" applyNumberFormat="1" applyFont="1" applyFill="1" applyBorder="1" applyAlignment="1">
      <alignment vertical="top"/>
    </xf>
    <xf numFmtId="3" fontId="25" fillId="23" borderId="171" xfId="0" applyNumberFormat="1" applyFont="1" applyFill="1" applyBorder="1" applyAlignment="1">
      <alignment horizontal="center" vertical="center"/>
    </xf>
    <xf numFmtId="3" fontId="25" fillId="6" borderId="171" xfId="4" applyNumberFormat="1" applyFont="1" applyFill="1" applyBorder="1" applyAlignment="1">
      <alignment horizontal="right" vertical="center"/>
    </xf>
    <xf numFmtId="0" fontId="27" fillId="8" borderId="6" xfId="4" applyFont="1" applyFill="1" applyBorder="1" applyAlignment="1">
      <alignment horizontal="center" vertical="center"/>
    </xf>
    <xf numFmtId="3" fontId="25" fillId="8" borderId="172" xfId="0" applyNumberFormat="1" applyFont="1" applyFill="1" applyBorder="1" applyAlignment="1">
      <alignment vertical="center"/>
    </xf>
    <xf numFmtId="0" fontId="35" fillId="8" borderId="11" xfId="0" applyFont="1" applyFill="1" applyBorder="1" applyAlignment="1">
      <alignment vertical="top"/>
    </xf>
    <xf numFmtId="3" fontId="27" fillId="8" borderId="172" xfId="0" applyNumberFormat="1" applyFont="1" applyFill="1" applyBorder="1" applyAlignment="1">
      <alignment vertical="center"/>
    </xf>
    <xf numFmtId="3" fontId="35" fillId="8" borderId="67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top"/>
    </xf>
    <xf numFmtId="0" fontId="35" fillId="30" borderId="0" xfId="0" applyFont="1" applyFill="1" applyBorder="1" applyAlignment="1">
      <alignment vertical="top"/>
    </xf>
    <xf numFmtId="0" fontId="27" fillId="0" borderId="36" xfId="4" applyFont="1" applyFill="1" applyBorder="1" applyAlignment="1">
      <alignment vertical="center"/>
    </xf>
    <xf numFmtId="3" fontId="31" fillId="0" borderId="172" xfId="0" applyNumberFormat="1" applyFont="1" applyFill="1" applyBorder="1" applyAlignment="1">
      <alignment vertical="center"/>
    </xf>
    <xf numFmtId="3" fontId="25" fillId="0" borderId="172" xfId="0" applyNumberFormat="1" applyFont="1" applyFill="1" applyBorder="1" applyAlignment="1">
      <alignment vertical="center"/>
    </xf>
    <xf numFmtId="0" fontId="31" fillId="32" borderId="135" xfId="0" applyFont="1" applyFill="1" applyBorder="1" applyAlignment="1">
      <alignment vertical="center"/>
    </xf>
    <xf numFmtId="3" fontId="31" fillId="32" borderId="172" xfId="0" applyNumberFormat="1" applyFont="1" applyFill="1" applyBorder="1" applyAlignment="1">
      <alignment vertical="center"/>
    </xf>
    <xf numFmtId="0" fontId="32" fillId="0" borderId="0" xfId="0" applyFont="1" applyBorder="1"/>
    <xf numFmtId="0" fontId="25" fillId="6" borderId="172" xfId="4" applyFont="1" applyFill="1" applyBorder="1" applyAlignment="1">
      <alignment horizontal="left" vertical="center"/>
    </xf>
    <xf numFmtId="0" fontId="24" fillId="8" borderId="4" xfId="0" applyFont="1" applyFill="1" applyBorder="1" applyAlignment="1">
      <alignment horizontal="center" vertical="center" wrapText="1"/>
    </xf>
    <xf numFmtId="0" fontId="7" fillId="23" borderId="70" xfId="0" applyFont="1" applyFill="1" applyBorder="1" applyAlignment="1">
      <alignment vertical="center"/>
    </xf>
    <xf numFmtId="3" fontId="31" fillId="2" borderId="135" xfId="4" applyNumberFormat="1" applyFont="1" applyFill="1" applyBorder="1" applyAlignment="1">
      <alignment vertical="center" wrapText="1"/>
    </xf>
    <xf numFmtId="0" fontId="0" fillId="0" borderId="171" xfId="0" applyFont="1" applyBorder="1"/>
    <xf numFmtId="3" fontId="7" fillId="23" borderId="171" xfId="0" applyNumberFormat="1" applyFont="1" applyFill="1" applyBorder="1" applyAlignment="1">
      <alignment horizontal="center" vertical="top"/>
    </xf>
    <xf numFmtId="3" fontId="25" fillId="2" borderId="171" xfId="0" applyNumberFormat="1" applyFont="1" applyFill="1" applyBorder="1" applyAlignment="1"/>
    <xf numFmtId="3" fontId="28" fillId="2" borderId="171" xfId="0" applyNumberFormat="1" applyFont="1" applyFill="1" applyBorder="1" applyAlignment="1"/>
    <xf numFmtId="3" fontId="31" fillId="2" borderId="77" xfId="4" applyNumberFormat="1" applyFont="1" applyFill="1" applyBorder="1" applyAlignment="1">
      <alignment vertical="center" wrapText="1"/>
    </xf>
    <xf numFmtId="0" fontId="24" fillId="8" borderId="70" xfId="0" applyFont="1" applyFill="1" applyBorder="1" applyAlignment="1">
      <alignment horizontal="center" vertical="center" wrapText="1"/>
    </xf>
    <xf numFmtId="0" fontId="24" fillId="6" borderId="85" xfId="4" applyFont="1" applyFill="1" applyBorder="1" applyAlignment="1">
      <alignment horizontal="left" vertical="center"/>
    </xf>
    <xf numFmtId="3" fontId="25" fillId="22" borderId="171" xfId="0" applyNumberFormat="1" applyFont="1" applyFill="1" applyBorder="1" applyAlignment="1">
      <alignment vertical="center"/>
    </xf>
    <xf numFmtId="0" fontId="29" fillId="0" borderId="85" xfId="0" applyFont="1" applyFill="1" applyBorder="1" applyAlignment="1">
      <alignment vertical="center"/>
    </xf>
    <xf numFmtId="3" fontId="25" fillId="25" borderId="171" xfId="0" applyNumberFormat="1" applyFont="1" applyFill="1" applyBorder="1" applyAlignment="1">
      <alignment vertical="center"/>
    </xf>
    <xf numFmtId="0" fontId="30" fillId="0" borderId="0" xfId="0" applyFont="1" applyBorder="1" applyAlignment="1">
      <alignment vertical="top"/>
    </xf>
    <xf numFmtId="0" fontId="7" fillId="0" borderId="180" xfId="0" applyFont="1" applyFill="1" applyBorder="1" applyAlignment="1">
      <alignment vertical="center" wrapText="1"/>
    </xf>
    <xf numFmtId="3" fontId="31" fillId="25" borderId="12" xfId="0" applyNumberFormat="1" applyFont="1" applyFill="1" applyBorder="1" applyAlignment="1">
      <alignment vertical="center"/>
    </xf>
    <xf numFmtId="3" fontId="31" fillId="25" borderId="137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31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3" fontId="27" fillId="0" borderId="137" xfId="0" applyNumberFormat="1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vertical="center"/>
    </xf>
    <xf numFmtId="3" fontId="27" fillId="2" borderId="137" xfId="0" applyNumberFormat="1" applyFont="1" applyFill="1" applyBorder="1" applyAlignment="1">
      <alignment vertical="center"/>
    </xf>
    <xf numFmtId="9" fontId="25" fillId="2" borderId="46" xfId="2" applyFont="1" applyFill="1" applyBorder="1" applyAlignment="1">
      <alignment horizontal="center" vertical="top"/>
    </xf>
    <xf numFmtId="0" fontId="25" fillId="0" borderId="35" xfId="4" applyFont="1" applyBorder="1" applyAlignment="1">
      <alignment horizontal="center" vertical="center" wrapText="1"/>
    </xf>
    <xf numFmtId="0" fontId="27" fillId="55" borderId="21" xfId="4" applyFont="1" applyFill="1" applyBorder="1" applyAlignment="1">
      <alignment horizontal="left" vertical="center"/>
    </xf>
    <xf numFmtId="0" fontId="29" fillId="8" borderId="135" xfId="4" applyFont="1" applyFill="1" applyBorder="1" applyAlignment="1">
      <alignment vertical="top"/>
    </xf>
    <xf numFmtId="0" fontId="7" fillId="8" borderId="135" xfId="4" applyFont="1" applyFill="1" applyBorder="1" applyAlignment="1">
      <alignment vertical="top"/>
    </xf>
    <xf numFmtId="0" fontId="7" fillId="8" borderId="135" xfId="4" applyFont="1" applyFill="1" applyBorder="1" applyAlignment="1">
      <alignment vertical="top" wrapText="1"/>
    </xf>
    <xf numFmtId="0" fontId="7" fillId="8" borderId="176" xfId="4" applyFont="1" applyFill="1" applyBorder="1" applyAlignment="1">
      <alignment vertical="top"/>
    </xf>
    <xf numFmtId="0" fontId="7" fillId="8" borderId="11" xfId="4" applyFont="1" applyFill="1" applyBorder="1" applyAlignment="1">
      <alignment vertical="top"/>
    </xf>
    <xf numFmtId="0" fontId="24" fillId="8" borderId="11" xfId="4" applyFont="1" applyFill="1" applyBorder="1" applyAlignment="1">
      <alignment horizontal="left" vertical="center" wrapText="1"/>
    </xf>
    <xf numFmtId="3" fontId="24" fillId="8" borderId="27" xfId="4" applyNumberFormat="1" applyFont="1" applyFill="1" applyBorder="1" applyAlignment="1">
      <alignment horizontal="center" vertical="center" wrapText="1"/>
    </xf>
    <xf numFmtId="3" fontId="7" fillId="8" borderId="13" xfId="4" applyNumberFormat="1" applyFont="1" applyFill="1" applyBorder="1" applyAlignment="1">
      <alignment horizontal="right" vertical="center"/>
    </xf>
    <xf numFmtId="3" fontId="7" fillId="23" borderId="10" xfId="4" applyNumberFormat="1" applyFont="1" applyFill="1" applyBorder="1" applyAlignment="1">
      <alignment horizontal="right" vertical="center"/>
    </xf>
    <xf numFmtId="3" fontId="24" fillId="6" borderId="176" xfId="4" applyNumberFormat="1" applyFont="1" applyFill="1" applyBorder="1" applyAlignment="1">
      <alignment vertical="center"/>
    </xf>
    <xf numFmtId="3" fontId="24" fillId="6" borderId="172" xfId="4" applyNumberFormat="1" applyFont="1" applyFill="1" applyBorder="1" applyAlignment="1">
      <alignment vertical="center"/>
    </xf>
    <xf numFmtId="3" fontId="24" fillId="6" borderId="171" xfId="4" applyNumberFormat="1" applyFont="1" applyFill="1" applyBorder="1" applyAlignment="1">
      <alignment vertical="center"/>
    </xf>
    <xf numFmtId="3" fontId="24" fillId="22" borderId="171" xfId="4" applyNumberFormat="1" applyFont="1" applyFill="1" applyBorder="1" applyAlignment="1">
      <alignment vertical="center"/>
    </xf>
    <xf numFmtId="0" fontId="29" fillId="0" borderId="135" xfId="4" applyFont="1" applyFill="1" applyBorder="1" applyAlignment="1">
      <alignment vertical="top"/>
    </xf>
    <xf numFmtId="3" fontId="29" fillId="0" borderId="172" xfId="4" applyNumberFormat="1" applyFont="1" applyFill="1" applyBorder="1" applyAlignment="1">
      <alignment horizontal="right" vertical="center"/>
    </xf>
    <xf numFmtId="3" fontId="29" fillId="0" borderId="171" xfId="4" applyNumberFormat="1" applyFont="1" applyFill="1" applyBorder="1" applyAlignment="1">
      <alignment horizontal="right" vertical="center"/>
    </xf>
    <xf numFmtId="3" fontId="29" fillId="25" borderId="171" xfId="4" applyNumberFormat="1" applyFont="1" applyFill="1" applyBorder="1" applyAlignment="1">
      <alignment horizontal="right" vertical="center"/>
    </xf>
    <xf numFmtId="0" fontId="7" fillId="0" borderId="135" xfId="4" applyFont="1" applyFill="1" applyBorder="1" applyAlignment="1">
      <alignment vertical="top"/>
    </xf>
    <xf numFmtId="3" fontId="7" fillId="0" borderId="171" xfId="0" applyNumberFormat="1" applyFont="1" applyFill="1" applyBorder="1" applyAlignment="1">
      <alignment vertical="top"/>
    </xf>
    <xf numFmtId="3" fontId="7" fillId="0" borderId="171" xfId="4" applyNumberFormat="1" applyFont="1" applyFill="1" applyBorder="1" applyAlignment="1">
      <alignment vertical="top"/>
    </xf>
    <xf numFmtId="3" fontId="7" fillId="0" borderId="175" xfId="4" applyNumberFormat="1" applyFont="1" applyFill="1" applyBorder="1" applyAlignment="1">
      <alignment vertical="top"/>
    </xf>
    <xf numFmtId="3" fontId="7" fillId="25" borderId="171" xfId="4" applyNumberFormat="1" applyFont="1" applyFill="1" applyBorder="1" applyAlignment="1">
      <alignment vertical="top"/>
    </xf>
    <xf numFmtId="3" fontId="18" fillId="0" borderId="0" xfId="0" applyNumberFormat="1" applyFont="1" applyBorder="1" applyAlignment="1">
      <alignment vertical="top"/>
    </xf>
    <xf numFmtId="0" fontId="7" fillId="0" borderId="135" xfId="4" applyFont="1" applyFill="1" applyBorder="1" applyAlignment="1">
      <alignment vertical="top" wrapText="1"/>
    </xf>
    <xf numFmtId="3" fontId="7" fillId="0" borderId="172" xfId="4" applyNumberFormat="1" applyFont="1" applyFill="1" applyBorder="1" applyAlignment="1">
      <alignment vertical="top"/>
    </xf>
    <xf numFmtId="0" fontId="29" fillId="0" borderId="135" xfId="4" applyFont="1" applyFill="1" applyBorder="1" applyAlignment="1">
      <alignment horizontal="left" vertical="center"/>
    </xf>
    <xf numFmtId="3" fontId="7" fillId="0" borderId="172" xfId="4" applyNumberFormat="1" applyFont="1" applyFill="1" applyBorder="1" applyAlignment="1">
      <alignment horizontal="right" vertical="center"/>
    </xf>
    <xf numFmtId="3" fontId="7" fillId="0" borderId="171" xfId="4" applyNumberFormat="1" applyFont="1" applyFill="1" applyBorder="1" applyAlignment="1">
      <alignment horizontal="right" vertical="center"/>
    </xf>
    <xf numFmtId="3" fontId="7" fillId="0" borderId="175" xfId="4" applyNumberFormat="1" applyFont="1" applyFill="1" applyBorder="1" applyAlignment="1">
      <alignment horizontal="right" vertical="center"/>
    </xf>
    <xf numFmtId="3" fontId="29" fillId="0" borderId="175" xfId="4" applyNumberFormat="1" applyFont="1" applyFill="1" applyBorder="1" applyAlignment="1">
      <alignment horizontal="right" vertical="center"/>
    </xf>
    <xf numFmtId="3" fontId="31" fillId="0" borderId="171" xfId="4" applyNumberFormat="1" applyFont="1" applyFill="1" applyBorder="1" applyAlignment="1">
      <alignment horizontal="right" vertical="center"/>
    </xf>
    <xf numFmtId="0" fontId="7" fillId="0" borderId="77" xfId="4" applyFont="1" applyFill="1" applyBorder="1" applyAlignment="1">
      <alignment vertical="top" wrapText="1"/>
    </xf>
    <xf numFmtId="3" fontId="7" fillId="0" borderId="131" xfId="0" applyNumberFormat="1" applyFont="1" applyFill="1" applyBorder="1" applyAlignment="1">
      <alignment vertical="top"/>
    </xf>
    <xf numFmtId="3" fontId="29" fillId="0" borderId="131" xfId="4" applyNumberFormat="1" applyFont="1" applyFill="1" applyBorder="1" applyAlignment="1">
      <alignment horizontal="right" vertical="center"/>
    </xf>
    <xf numFmtId="3" fontId="7" fillId="0" borderId="131" xfId="4" applyNumberFormat="1" applyFont="1" applyFill="1" applyBorder="1" applyAlignment="1">
      <alignment vertical="top"/>
    </xf>
    <xf numFmtId="0" fontId="24" fillId="8" borderId="21" xfId="4" applyFont="1" applyFill="1" applyBorder="1" applyAlignment="1">
      <alignment horizontal="left" vertical="center" wrapText="1"/>
    </xf>
    <xf numFmtId="3" fontId="24" fillId="8" borderId="9" xfId="4" applyNumberFormat="1" applyFont="1" applyFill="1" applyBorder="1" applyAlignment="1">
      <alignment horizontal="center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71" xfId="1" applyFont="1" applyFill="1" applyBorder="1" applyAlignment="1">
      <alignment vertical="center"/>
    </xf>
    <xf numFmtId="43" fontId="24" fillId="22" borderId="171" xfId="1" applyFont="1" applyFill="1" applyBorder="1" applyAlignment="1">
      <alignment vertical="center"/>
    </xf>
    <xf numFmtId="43" fontId="29" fillId="0" borderId="172" xfId="1" applyFont="1" applyFill="1" applyBorder="1" applyAlignment="1">
      <alignment horizontal="right" vertical="center"/>
    </xf>
    <xf numFmtId="43" fontId="29" fillId="25" borderId="171" xfId="1" applyFont="1" applyFill="1" applyBorder="1" applyAlignment="1">
      <alignment horizontal="right" vertical="center"/>
    </xf>
    <xf numFmtId="43" fontId="7" fillId="0" borderId="171" xfId="1" applyFont="1" applyFill="1" applyBorder="1" applyAlignment="1">
      <alignment vertical="top"/>
    </xf>
    <xf numFmtId="43" fontId="7" fillId="25" borderId="171" xfId="1" applyFont="1" applyFill="1" applyBorder="1" applyAlignment="1">
      <alignment vertical="top"/>
    </xf>
    <xf numFmtId="43" fontId="29" fillId="0" borderId="171" xfId="1" applyFont="1" applyFill="1" applyBorder="1" applyAlignment="1">
      <alignment horizontal="right" vertical="center"/>
    </xf>
    <xf numFmtId="43" fontId="7" fillId="0" borderId="171" xfId="1" applyFont="1" applyFill="1" applyBorder="1" applyAlignment="1">
      <alignment horizontal="right" vertical="center"/>
    </xf>
    <xf numFmtId="0" fontId="24" fillId="2" borderId="172" xfId="4" applyFont="1" applyFill="1" applyBorder="1" applyAlignment="1">
      <alignment horizontal="center" vertical="center" wrapText="1"/>
    </xf>
    <xf numFmtId="0" fontId="24" fillId="8" borderId="135" xfId="4" applyFont="1" applyFill="1" applyBorder="1" applyAlignment="1">
      <alignment horizontal="left" vertical="center" wrapText="1"/>
    </xf>
    <xf numFmtId="3" fontId="25" fillId="8" borderId="172" xfId="4" applyNumberFormat="1" applyFont="1" applyFill="1" applyBorder="1" applyAlignment="1">
      <alignment horizontal="center" vertical="center"/>
    </xf>
    <xf numFmtId="3" fontId="7" fillId="8" borderId="171" xfId="4" applyNumberFormat="1" applyFont="1" applyFill="1" applyBorder="1" applyAlignment="1">
      <alignment horizontal="right" vertical="center"/>
    </xf>
    <xf numFmtId="3" fontId="7" fillId="8" borderId="175" xfId="4" applyNumberFormat="1" applyFont="1" applyFill="1" applyBorder="1" applyAlignment="1">
      <alignment horizontal="right" vertical="center"/>
    </xf>
    <xf numFmtId="3" fontId="7" fillId="23" borderId="171" xfId="4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top"/>
    </xf>
    <xf numFmtId="3" fontId="25" fillId="6" borderId="172" xfId="4" applyNumberFormat="1" applyFont="1" applyFill="1" applyBorder="1" applyAlignment="1">
      <alignment vertical="center"/>
    </xf>
    <xf numFmtId="43" fontId="25" fillId="6" borderId="171" xfId="1" applyFont="1" applyFill="1" applyBorder="1" applyAlignment="1">
      <alignment vertical="center"/>
    </xf>
    <xf numFmtId="3" fontId="25" fillId="6" borderId="171" xfId="4" applyNumberFormat="1" applyFont="1" applyFill="1" applyBorder="1" applyAlignment="1">
      <alignment vertical="center"/>
    </xf>
    <xf numFmtId="3" fontId="25" fillId="22" borderId="171" xfId="4" applyNumberFormat="1" applyFont="1" applyFill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29" fillId="0" borderId="135" xfId="4" applyFont="1" applyFill="1" applyBorder="1" applyAlignment="1">
      <alignment vertical="center"/>
    </xf>
    <xf numFmtId="3" fontId="27" fillId="25" borderId="171" xfId="4" applyNumberFormat="1" applyFont="1" applyFill="1" applyBorder="1" applyAlignment="1">
      <alignment horizontal="right" vertical="center"/>
    </xf>
    <xf numFmtId="0" fontId="7" fillId="0" borderId="135" xfId="4" applyFont="1" applyFill="1" applyBorder="1" applyAlignment="1">
      <alignment vertical="center"/>
    </xf>
    <xf numFmtId="43" fontId="7" fillId="0" borderId="171" xfId="1" applyFont="1" applyFill="1" applyBorder="1" applyAlignment="1">
      <alignment vertical="center"/>
    </xf>
    <xf numFmtId="3" fontId="7" fillId="0" borderId="171" xfId="4" applyNumberFormat="1" applyFont="1" applyFill="1" applyBorder="1" applyAlignment="1">
      <alignment vertical="center"/>
    </xf>
    <xf numFmtId="3" fontId="7" fillId="25" borderId="171" xfId="4" applyNumberFormat="1" applyFont="1" applyFill="1" applyBorder="1" applyAlignment="1">
      <alignment vertical="center"/>
    </xf>
    <xf numFmtId="0" fontId="27" fillId="0" borderId="135" xfId="4" applyFont="1" applyFill="1" applyBorder="1" applyAlignment="1">
      <alignment horizontal="left" vertical="center"/>
    </xf>
    <xf numFmtId="3" fontId="7" fillId="0" borderId="131" xfId="4" applyNumberFormat="1" applyFont="1" applyFill="1" applyBorder="1" applyAlignment="1">
      <alignment vertical="center"/>
    </xf>
    <xf numFmtId="3" fontId="7" fillId="0" borderId="149" xfId="4" applyNumberFormat="1" applyFont="1" applyFill="1" applyBorder="1" applyAlignment="1">
      <alignment vertical="center"/>
    </xf>
    <xf numFmtId="3" fontId="27" fillId="0" borderId="171" xfId="4" applyNumberFormat="1" applyFont="1" applyFill="1" applyBorder="1" applyAlignment="1">
      <alignment horizontal="right" vertical="center"/>
    </xf>
    <xf numFmtId="0" fontId="7" fillId="0" borderId="135" xfId="4" applyFont="1" applyFill="1" applyBorder="1" applyAlignment="1"/>
    <xf numFmtId="0" fontId="31" fillId="0" borderId="0" xfId="0" applyFont="1" applyBorder="1" applyAlignment="1"/>
    <xf numFmtId="3" fontId="27" fillId="0" borderId="172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31" fillId="8" borderId="35" xfId="4" applyNumberFormat="1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center" vertical="center" wrapText="1"/>
    </xf>
    <xf numFmtId="3" fontId="25" fillId="6" borderId="176" xfId="4" applyNumberFormat="1" applyFont="1" applyFill="1" applyBorder="1" applyAlignment="1">
      <alignment vertical="center"/>
    </xf>
    <xf numFmtId="3" fontId="24" fillId="6" borderId="175" xfId="4" applyNumberFormat="1" applyFont="1" applyFill="1" applyBorder="1" applyAlignment="1">
      <alignment vertical="center"/>
    </xf>
    <xf numFmtId="3" fontId="7" fillId="8" borderId="7" xfId="4" applyNumberFormat="1" applyFont="1" applyFill="1" applyBorder="1" applyAlignment="1">
      <alignment horizontal="right" vertical="center"/>
    </xf>
    <xf numFmtId="43" fontId="25" fillId="22" borderId="171" xfId="1" applyFont="1" applyFill="1" applyBorder="1" applyAlignment="1">
      <alignment vertical="center"/>
    </xf>
    <xf numFmtId="43" fontId="27" fillId="25" borderId="171" xfId="1" applyFont="1" applyFill="1" applyBorder="1" applyAlignment="1">
      <alignment horizontal="right" vertical="center"/>
    </xf>
    <xf numFmtId="3" fontId="25" fillId="8" borderId="27" xfId="4" applyNumberFormat="1" applyFont="1" applyFill="1" applyBorder="1" applyAlignment="1">
      <alignment horizontal="center" vertical="center"/>
    </xf>
    <xf numFmtId="3" fontId="27" fillId="25" borderId="13" xfId="4" applyNumberFormat="1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vertical="top"/>
    </xf>
    <xf numFmtId="3" fontId="7" fillId="0" borderId="13" xfId="4" applyNumberFormat="1" applyFont="1" applyFill="1" applyBorder="1" applyAlignment="1">
      <alignment vertical="top"/>
    </xf>
    <xf numFmtId="3" fontId="7" fillId="25" borderId="13" xfId="4" applyNumberFormat="1" applyFont="1" applyFill="1" applyBorder="1" applyAlignment="1">
      <alignment vertical="top"/>
    </xf>
    <xf numFmtId="0" fontId="24" fillId="6" borderId="11" xfId="4" applyFont="1" applyFill="1" applyBorder="1" applyAlignment="1">
      <alignment horizontal="left" vertical="center"/>
    </xf>
    <xf numFmtId="3" fontId="29" fillId="25" borderId="172" xfId="4" applyNumberFormat="1" applyFont="1" applyFill="1" applyBorder="1" applyAlignment="1">
      <alignment horizontal="right" vertical="center"/>
    </xf>
    <xf numFmtId="0" fontId="24" fillId="0" borderId="43" xfId="4" applyFont="1" applyFill="1" applyBorder="1" applyAlignment="1">
      <alignment vertical="center"/>
    </xf>
    <xf numFmtId="0" fontId="7" fillId="0" borderId="11" xfId="4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18" fillId="0" borderId="13" xfId="4" applyFont="1" applyFill="1" applyBorder="1" applyAlignment="1">
      <alignment vertical="center" wrapText="1"/>
    </xf>
    <xf numFmtId="3" fontId="24" fillId="8" borderId="27" xfId="4" applyNumberFormat="1" applyFont="1" applyFill="1" applyBorder="1" applyAlignment="1">
      <alignment horizontal="center" vertical="center"/>
    </xf>
    <xf numFmtId="3" fontId="31" fillId="8" borderId="13" xfId="4" applyNumberFormat="1" applyFont="1" applyFill="1" applyBorder="1" applyAlignment="1">
      <alignment horizontal="right" vertical="center"/>
    </xf>
    <xf numFmtId="3" fontId="31" fillId="23" borderId="10" xfId="4" applyNumberFormat="1" applyFont="1" applyFill="1" applyBorder="1" applyAlignment="1">
      <alignment horizontal="right" vertical="center"/>
    </xf>
    <xf numFmtId="3" fontId="20" fillId="6" borderId="6" xfId="4" applyNumberFormat="1" applyFont="1" applyFill="1" applyBorder="1" applyAlignment="1">
      <alignment vertical="center"/>
    </xf>
    <xf numFmtId="3" fontId="25" fillId="6" borderId="27" xfId="4" applyNumberFormat="1" applyFont="1" applyFill="1" applyBorder="1" applyAlignment="1">
      <alignment vertical="center"/>
    </xf>
    <xf numFmtId="3" fontId="25" fillId="6" borderId="13" xfId="4" applyNumberFormat="1" applyFont="1" applyFill="1" applyBorder="1" applyAlignment="1">
      <alignment vertical="center"/>
    </xf>
    <xf numFmtId="3" fontId="25" fillId="22" borderId="13" xfId="4" applyNumberFormat="1" applyFont="1" applyFill="1" applyBorder="1" applyAlignment="1">
      <alignment vertical="center"/>
    </xf>
    <xf numFmtId="0" fontId="29" fillId="0" borderId="11" xfId="4" applyFont="1" applyFill="1" applyBorder="1" applyAlignment="1">
      <alignment vertical="top"/>
    </xf>
    <xf numFmtId="3" fontId="27" fillId="0" borderId="13" xfId="4" applyNumberFormat="1" applyFont="1" applyFill="1" applyBorder="1" applyAlignment="1">
      <alignment horizontal="right" vertical="center"/>
    </xf>
    <xf numFmtId="3" fontId="31" fillId="0" borderId="13" xfId="4" applyNumberFormat="1" applyFont="1" applyFill="1" applyBorder="1" applyAlignment="1">
      <alignment vertical="top"/>
    </xf>
    <xf numFmtId="0" fontId="7" fillId="32" borderId="11" xfId="4" applyFont="1" applyFill="1" applyBorder="1" applyAlignment="1">
      <alignment vertical="top"/>
    </xf>
    <xf numFmtId="0" fontId="29" fillId="0" borderId="11" xfId="4" applyFont="1" applyFill="1" applyBorder="1" applyAlignment="1">
      <alignment horizontal="left" vertical="center"/>
    </xf>
    <xf numFmtId="3" fontId="27" fillId="25" borderId="27" xfId="4" applyNumberFormat="1" applyFont="1" applyFill="1" applyBorder="1" applyAlignment="1">
      <alignment horizontal="right" vertical="center"/>
    </xf>
    <xf numFmtId="3" fontId="31" fillId="0" borderId="13" xfId="4" applyNumberFormat="1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7" fillId="8" borderId="11" xfId="4" applyFont="1" applyFill="1" applyBorder="1" applyAlignment="1">
      <alignment horizontal="left" vertical="center" wrapText="1"/>
    </xf>
    <xf numFmtId="3" fontId="20" fillId="8" borderId="27" xfId="4" applyNumberFormat="1" applyFont="1" applyFill="1" applyBorder="1" applyAlignment="1">
      <alignment horizontal="center" vertical="center"/>
    </xf>
    <xf numFmtId="3" fontId="18" fillId="8" borderId="13" xfId="4" applyNumberFormat="1" applyFont="1" applyFill="1" applyBorder="1" applyAlignment="1">
      <alignment horizontal="right" vertical="center"/>
    </xf>
    <xf numFmtId="3" fontId="18" fillId="23" borderId="10" xfId="4" applyNumberFormat="1" applyFont="1" applyFill="1" applyBorder="1" applyAlignment="1">
      <alignment horizontal="right" vertical="center"/>
    </xf>
    <xf numFmtId="0" fontId="17" fillId="6" borderId="11" xfId="4" applyFont="1" applyFill="1" applyBorder="1" applyAlignment="1">
      <alignment horizontal="left" vertical="center"/>
    </xf>
    <xf numFmtId="3" fontId="17" fillId="6" borderId="27" xfId="4" applyNumberFormat="1" applyFont="1" applyFill="1" applyBorder="1" applyAlignment="1">
      <alignment vertical="center"/>
    </xf>
    <xf numFmtId="3" fontId="17" fillId="6" borderId="0" xfId="4" applyNumberFormat="1" applyFont="1" applyFill="1" applyBorder="1" applyAlignment="1">
      <alignment vertical="center"/>
    </xf>
    <xf numFmtId="3" fontId="20" fillId="6" borderId="13" xfId="4" applyNumberFormat="1" applyFont="1" applyFill="1" applyBorder="1" applyAlignment="1">
      <alignment vertical="center"/>
    </xf>
    <xf numFmtId="3" fontId="20" fillId="22" borderId="10" xfId="4" applyNumberFormat="1" applyFont="1" applyFill="1" applyBorder="1" applyAlignment="1">
      <alignment vertical="center"/>
    </xf>
    <xf numFmtId="0" fontId="30" fillId="0" borderId="11" xfId="4" applyFont="1" applyFill="1" applyBorder="1" applyAlignment="1">
      <alignment vertical="top"/>
    </xf>
    <xf numFmtId="3" fontId="35" fillId="0" borderId="27" xfId="4" applyNumberFormat="1" applyFont="1" applyFill="1" applyBorder="1" applyAlignment="1">
      <alignment horizontal="right" vertical="center"/>
    </xf>
    <xf numFmtId="3" fontId="30" fillId="0" borderId="13" xfId="4" applyNumberFormat="1" applyFont="1" applyFill="1" applyBorder="1" applyAlignment="1">
      <alignment horizontal="right" vertical="center"/>
    </xf>
    <xf numFmtId="3" fontId="35" fillId="0" borderId="13" xfId="4" applyNumberFormat="1" applyFont="1" applyFill="1" applyBorder="1" applyAlignment="1">
      <alignment horizontal="right" vertical="center"/>
    </xf>
    <xf numFmtId="3" fontId="35" fillId="25" borderId="10" xfId="4" applyNumberFormat="1" applyFont="1" applyFill="1" applyBorder="1" applyAlignment="1">
      <alignment horizontal="right" vertical="center"/>
    </xf>
    <xf numFmtId="0" fontId="18" fillId="0" borderId="11" xfId="4" applyFont="1" applyFill="1" applyBorder="1" applyAlignment="1">
      <alignment vertical="top"/>
    </xf>
    <xf numFmtId="3" fontId="21" fillId="0" borderId="27" xfId="0" applyNumberFormat="1" applyFont="1" applyFill="1" applyBorder="1" applyAlignment="1">
      <alignment vertical="top"/>
    </xf>
    <xf numFmtId="3" fontId="18" fillId="0" borderId="13" xfId="4" applyNumberFormat="1" applyFont="1" applyFill="1" applyBorder="1" applyAlignment="1">
      <alignment vertical="top"/>
    </xf>
    <xf numFmtId="0" fontId="18" fillId="0" borderId="11" xfId="4" applyFont="1" applyFill="1" applyBorder="1" applyAlignment="1">
      <alignment vertical="top" wrapText="1"/>
    </xf>
    <xf numFmtId="0" fontId="30" fillId="0" borderId="11" xfId="4" applyFont="1" applyFill="1" applyBorder="1" applyAlignment="1">
      <alignment horizontal="left" vertical="center"/>
    </xf>
    <xf numFmtId="3" fontId="30" fillId="0" borderId="27" xfId="4" applyNumberFormat="1" applyFont="1" applyFill="1" applyBorder="1" applyAlignment="1">
      <alignment horizontal="right" vertical="center"/>
    </xf>
    <xf numFmtId="3" fontId="35" fillId="25" borderId="0" xfId="4" applyNumberFormat="1" applyFont="1" applyFill="1" applyBorder="1" applyAlignment="1">
      <alignment horizontal="right" vertical="center"/>
    </xf>
    <xf numFmtId="3" fontId="20" fillId="22" borderId="10" xfId="4" applyNumberFormat="1" applyFont="1" applyFill="1" applyBorder="1" applyAlignment="1">
      <alignment horizontal="center" vertical="center"/>
    </xf>
    <xf numFmtId="3" fontId="18" fillId="0" borderId="13" xfId="4" applyNumberFormat="1" applyFont="1" applyFill="1" applyBorder="1" applyAlignment="1">
      <alignment vertical="center"/>
    </xf>
    <xf numFmtId="3" fontId="25" fillId="6" borderId="144" xfId="0" applyNumberFormat="1" applyFont="1" applyFill="1" applyBorder="1" applyAlignment="1">
      <alignment vertical="center"/>
    </xf>
    <xf numFmtId="3" fontId="25" fillId="6" borderId="175" xfId="0" applyNumberFormat="1" applyFont="1" applyFill="1" applyBorder="1" applyAlignment="1">
      <alignment vertical="center"/>
    </xf>
    <xf numFmtId="0" fontId="25" fillId="6" borderId="176" xfId="4" applyFont="1" applyFill="1" applyBorder="1" applyAlignment="1">
      <alignment horizontal="left" vertical="center"/>
    </xf>
    <xf numFmtId="43" fontId="24" fillId="6" borderId="172" xfId="1" applyFont="1" applyFill="1" applyBorder="1" applyAlignment="1">
      <alignment vertical="center"/>
    </xf>
    <xf numFmtId="43" fontId="25" fillId="6" borderId="175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5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3" fontId="29" fillId="8" borderId="31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horizontal="center" vertical="center"/>
    </xf>
    <xf numFmtId="3" fontId="31" fillId="23" borderId="30" xfId="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/>
    </xf>
    <xf numFmtId="0" fontId="7" fillId="8" borderId="79" xfId="0" applyFont="1" applyFill="1" applyBorder="1" applyAlignment="1">
      <alignment vertical="center"/>
    </xf>
    <xf numFmtId="3" fontId="7" fillId="8" borderId="79" xfId="0" applyNumberFormat="1" applyFont="1" applyFill="1" applyBorder="1" applyAlignment="1">
      <alignment vertical="center"/>
    </xf>
    <xf numFmtId="3" fontId="7" fillId="23" borderId="70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3" fontId="27" fillId="23" borderId="30" xfId="4" applyNumberFormat="1" applyFont="1" applyFill="1" applyBorder="1" applyAlignment="1">
      <alignment vertical="center"/>
    </xf>
    <xf numFmtId="0" fontId="7" fillId="0" borderId="34" xfId="4" applyFont="1" applyFill="1" applyBorder="1" applyAlignment="1">
      <alignment vertical="center"/>
    </xf>
    <xf numFmtId="0" fontId="27" fillId="2" borderId="34" xfId="4" applyFont="1" applyFill="1" applyBorder="1" applyAlignment="1">
      <alignment vertical="center"/>
    </xf>
    <xf numFmtId="0" fontId="0" fillId="0" borderId="33" xfId="0" applyFont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7" fillId="2" borderId="31" xfId="4" applyFont="1" applyFill="1" applyBorder="1" applyAlignment="1">
      <alignment vertical="center"/>
    </xf>
    <xf numFmtId="3" fontId="7" fillId="23" borderId="30" xfId="4" applyNumberFormat="1" applyFont="1" applyFill="1" applyBorder="1" applyAlignment="1">
      <alignment horizontal="center" vertical="center"/>
    </xf>
    <xf numFmtId="3" fontId="24" fillId="6" borderId="93" xfId="4" applyNumberFormat="1" applyFont="1" applyFill="1" applyBorder="1" applyAlignment="1">
      <alignment vertical="center"/>
    </xf>
    <xf numFmtId="3" fontId="7" fillId="23" borderId="91" xfId="4" applyNumberFormat="1" applyFont="1" applyFill="1" applyBorder="1" applyAlignment="1">
      <alignment vertical="center"/>
    </xf>
    <xf numFmtId="3" fontId="27" fillId="2" borderId="97" xfId="4" applyNumberFormat="1" applyFont="1" applyFill="1" applyBorder="1" applyAlignment="1">
      <alignment vertical="center" wrapText="1"/>
    </xf>
    <xf numFmtId="0" fontId="7" fillId="0" borderId="97" xfId="4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80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5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5" borderId="25" xfId="112" applyFont="1" applyFill="1" applyBorder="1" applyAlignment="1">
      <alignment horizontal="left" vertical="center"/>
    </xf>
    <xf numFmtId="0" fontId="28" fillId="55" borderId="22" xfId="112" quotePrefix="1" applyFont="1" applyFill="1" applyBorder="1" applyAlignment="1">
      <alignment horizontal="center" vertical="center"/>
    </xf>
    <xf numFmtId="3" fontId="27" fillId="55" borderId="23" xfId="112" quotePrefix="1" applyNumberFormat="1" applyFont="1" applyFill="1" applyBorder="1" applyAlignment="1">
      <alignment horizontal="right" vertical="center"/>
    </xf>
    <xf numFmtId="3" fontId="29" fillId="8" borderId="142" xfId="4" applyNumberFormat="1" applyFont="1" applyFill="1" applyBorder="1" applyAlignment="1">
      <alignment vertical="center" wrapText="1"/>
    </xf>
    <xf numFmtId="3" fontId="29" fillId="8" borderId="128" xfId="4" applyNumberFormat="1" applyFont="1" applyFill="1" applyBorder="1" applyAlignment="1">
      <alignment vertical="center" wrapText="1"/>
    </xf>
    <xf numFmtId="3" fontId="27" fillId="8" borderId="137" xfId="112" applyNumberFormat="1" applyFont="1" applyFill="1" applyBorder="1" applyAlignment="1">
      <alignment vertical="center"/>
    </xf>
    <xf numFmtId="3" fontId="27" fillId="23" borderId="137" xfId="112" applyNumberFormat="1" applyFont="1" applyFill="1" applyBorder="1" applyAlignment="1">
      <alignment vertical="center"/>
    </xf>
    <xf numFmtId="3" fontId="7" fillId="8" borderId="142" xfId="4" applyNumberFormat="1" applyFont="1" applyFill="1" applyBorder="1" applyAlignment="1">
      <alignment vertical="center" wrapText="1"/>
    </xf>
    <xf numFmtId="3" fontId="7" fillId="8" borderId="128" xfId="4" applyNumberFormat="1" applyFont="1" applyFill="1" applyBorder="1" applyAlignment="1">
      <alignment vertical="center" wrapText="1"/>
    </xf>
    <xf numFmtId="3" fontId="7" fillId="8" borderId="137" xfId="112" applyNumberFormat="1" applyFont="1" applyFill="1" applyBorder="1" applyAlignment="1">
      <alignment vertical="center"/>
    </xf>
    <xf numFmtId="0" fontId="29" fillId="8" borderId="142" xfId="4" applyFont="1" applyFill="1" applyBorder="1" applyAlignment="1">
      <alignment vertical="center"/>
    </xf>
    <xf numFmtId="0" fontId="29" fillId="8" borderId="128" xfId="4" applyFont="1" applyFill="1" applyBorder="1" applyAlignment="1">
      <alignment vertical="center"/>
    </xf>
    <xf numFmtId="0" fontId="7" fillId="8" borderId="128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0" fontId="7" fillId="8" borderId="79" xfId="112" applyFont="1" applyFill="1" applyBorder="1" applyAlignment="1">
      <alignment vertical="center"/>
    </xf>
    <xf numFmtId="3" fontId="7" fillId="8" borderId="79" xfId="112" applyNumberFormat="1" applyFont="1" applyFill="1" applyBorder="1" applyAlignment="1">
      <alignment vertical="center"/>
    </xf>
    <xf numFmtId="3" fontId="7" fillId="23" borderId="70" xfId="112" applyNumberFormat="1" applyFont="1" applyFill="1" applyBorder="1" applyAlignment="1">
      <alignment vertical="center"/>
    </xf>
    <xf numFmtId="3" fontId="29" fillId="2" borderId="142" xfId="4" applyNumberFormat="1" applyFont="1" applyFill="1" applyBorder="1" applyAlignment="1">
      <alignment vertical="center" wrapText="1"/>
    </xf>
    <xf numFmtId="0" fontId="7" fillId="0" borderId="142" xfId="4" applyFont="1" applyFill="1" applyBorder="1" applyAlignment="1">
      <alignment vertical="center"/>
    </xf>
    <xf numFmtId="0" fontId="29" fillId="2" borderId="142" xfId="4" applyFont="1" applyFill="1" applyBorder="1" applyAlignment="1">
      <alignment vertical="center"/>
    </xf>
    <xf numFmtId="0" fontId="31" fillId="0" borderId="143" xfId="4" applyFont="1" applyFill="1" applyBorder="1" applyAlignment="1">
      <alignment vertical="center"/>
    </xf>
    <xf numFmtId="3" fontId="24" fillId="6" borderId="139" xfId="4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3" fontId="27" fillId="2" borderId="139" xfId="4" applyNumberFormat="1" applyFont="1" applyFill="1" applyBorder="1" applyAlignment="1">
      <alignment vertical="center"/>
    </xf>
    <xf numFmtId="0" fontId="4" fillId="0" borderId="131" xfId="112" applyFont="1" applyBorder="1" applyAlignment="1">
      <alignment vertical="center"/>
    </xf>
    <xf numFmtId="0" fontId="4" fillId="0" borderId="27" xfId="112" applyFont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32" borderId="139" xfId="4" applyNumberFormat="1" applyFont="1" applyFill="1" applyBorder="1" applyAlignment="1">
      <alignment vertical="center"/>
    </xf>
    <xf numFmtId="3" fontId="24" fillId="32" borderId="137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31" fillId="0" borderId="150" xfId="4" applyFont="1" applyFill="1" applyBorder="1" applyAlignment="1">
      <alignment vertical="center"/>
    </xf>
    <xf numFmtId="0" fontId="27" fillId="55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31" fillId="6" borderId="128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7" fillId="0" borderId="69" xfId="4" applyFont="1" applyBorder="1" applyAlignment="1">
      <alignment horizontal="center" vertical="center"/>
    </xf>
    <xf numFmtId="0" fontId="0" fillId="0" borderId="66" xfId="0" applyFont="1" applyBorder="1" applyAlignment="1">
      <alignment vertical="center"/>
    </xf>
    <xf numFmtId="3" fontId="18" fillId="8" borderId="67" xfId="4" applyNumberFormat="1" applyFont="1" applyFill="1" applyBorder="1" applyAlignment="1">
      <alignment vertical="center" wrapText="1"/>
    </xf>
    <xf numFmtId="0" fontId="27" fillId="55" borderId="67" xfId="0" applyFont="1" applyFill="1" applyBorder="1" applyAlignment="1">
      <alignment horizontal="left" vertical="center"/>
    </xf>
    <xf numFmtId="0" fontId="28" fillId="55" borderId="6" xfId="0" quotePrefix="1" applyFont="1" applyFill="1" applyBorder="1" applyAlignment="1">
      <alignment horizontal="center" vertical="center"/>
    </xf>
    <xf numFmtId="3" fontId="27" fillId="55" borderId="27" xfId="0" quotePrefix="1" applyNumberFormat="1" applyFont="1" applyFill="1" applyBorder="1" applyAlignment="1">
      <alignment horizontal="right" vertical="center"/>
    </xf>
    <xf numFmtId="3" fontId="24" fillId="6" borderId="70" xfId="4" applyNumberFormat="1" applyFont="1" applyFill="1" applyBorder="1" applyAlignment="1">
      <alignment vertical="center"/>
    </xf>
    <xf numFmtId="3" fontId="24" fillId="22" borderId="70" xfId="4" applyNumberFormat="1" applyFont="1" applyFill="1" applyBorder="1" applyAlignment="1">
      <alignment vertical="center"/>
    </xf>
    <xf numFmtId="3" fontId="41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2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5" fillId="6" borderId="29" xfId="4" applyNumberFormat="1" applyFont="1" applyFill="1" applyBorder="1" applyAlignment="1">
      <alignment vertical="center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0" fontId="24" fillId="13" borderId="6" xfId="4" applyFont="1" applyFill="1" applyBorder="1" applyAlignment="1">
      <alignment vertical="center" wrapText="1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81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3" fontId="24" fillId="22" borderId="30" xfId="4" applyNumberFormat="1" applyFont="1" applyFill="1" applyBorder="1" applyAlignment="1">
      <alignment vertical="center"/>
    </xf>
    <xf numFmtId="3" fontId="27" fillId="0" borderId="29" xfId="4" applyNumberFormat="1" applyFont="1" applyFill="1" applyBorder="1" applyAlignment="1">
      <alignment vertical="center"/>
    </xf>
    <xf numFmtId="3" fontId="27" fillId="25" borderId="29" xfId="4" applyNumberFormat="1" applyFont="1" applyFill="1" applyBorder="1" applyAlignment="1">
      <alignment vertical="center"/>
    </xf>
    <xf numFmtId="0" fontId="31" fillId="0" borderId="34" xfId="4" applyFont="1" applyFill="1" applyBorder="1" applyAlignment="1">
      <alignment vertical="center"/>
    </xf>
    <xf numFmtId="3" fontId="29" fillId="2" borderId="34" xfId="4" applyNumberFormat="1" applyFont="1" applyFill="1" applyBorder="1" applyAlignment="1">
      <alignment vertical="center" wrapText="1"/>
    </xf>
    <xf numFmtId="0" fontId="29" fillId="2" borderId="34" xfId="4" applyFont="1" applyFill="1" applyBorder="1" applyAlignment="1">
      <alignment vertical="center"/>
    </xf>
    <xf numFmtId="0" fontId="7" fillId="0" borderId="81" xfId="4" applyFont="1" applyFill="1" applyBorder="1" applyAlignment="1">
      <alignment vertical="center"/>
    </xf>
    <xf numFmtId="3" fontId="24" fillId="6" borderId="64" xfId="4" applyNumberFormat="1" applyFont="1" applyFill="1" applyBorder="1" applyAlignment="1">
      <alignment vertical="center"/>
    </xf>
    <xf numFmtId="0" fontId="29" fillId="2" borderId="32" xfId="4" applyFont="1" applyFill="1" applyBorder="1" applyAlignment="1">
      <alignment vertical="center"/>
    </xf>
    <xf numFmtId="3" fontId="29" fillId="2" borderId="29" xfId="4" applyNumberFormat="1" applyFont="1" applyFill="1" applyBorder="1" applyAlignment="1">
      <alignment vertical="center"/>
    </xf>
    <xf numFmtId="3" fontId="7" fillId="25" borderId="12" xfId="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7" fillId="0" borderId="33" xfId="4" applyFont="1" applyFill="1" applyBorder="1" applyAlignment="1">
      <alignment vertical="center"/>
    </xf>
    <xf numFmtId="3" fontId="27" fillId="0" borderId="9" xfId="4" applyNumberFormat="1" applyFont="1" applyFill="1" applyBorder="1" applyAlignment="1">
      <alignment vertical="center"/>
    </xf>
    <xf numFmtId="3" fontId="27" fillId="0" borderId="0" xfId="4" applyNumberFormat="1" applyFont="1" applyFill="1" applyBorder="1" applyAlignment="1">
      <alignment vertical="center"/>
    </xf>
    <xf numFmtId="3" fontId="24" fillId="6" borderId="0" xfId="4" applyNumberFormat="1" applyFont="1" applyFill="1" applyBorder="1" applyAlignment="1">
      <alignment vertical="center"/>
    </xf>
    <xf numFmtId="3" fontId="24" fillId="26" borderId="10" xfId="4" applyNumberFormat="1" applyFont="1" applyFill="1" applyBorder="1" applyAlignment="1">
      <alignment vertical="center"/>
    </xf>
    <xf numFmtId="3" fontId="27" fillId="2" borderId="0" xfId="4" applyNumberFormat="1" applyFont="1" applyFill="1" applyBorder="1" applyAlignment="1">
      <alignment vertical="center"/>
    </xf>
    <xf numFmtId="3" fontId="27" fillId="26" borderId="0" xfId="4" applyNumberFormat="1" applyFont="1" applyFill="1" applyBorder="1" applyAlignment="1">
      <alignment vertical="center"/>
    </xf>
    <xf numFmtId="3" fontId="7" fillId="25" borderId="74" xfId="4" applyNumberFormat="1" applyFont="1" applyFill="1" applyBorder="1" applyAlignment="1">
      <alignment horizontal="right" vertical="center"/>
    </xf>
    <xf numFmtId="3" fontId="27" fillId="2" borderId="118" xfId="4" applyNumberFormat="1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3" fontId="31" fillId="0" borderId="47" xfId="4" applyNumberFormat="1" applyFont="1" applyFill="1" applyBorder="1" applyAlignment="1">
      <alignment vertical="center"/>
    </xf>
    <xf numFmtId="3" fontId="31" fillId="0" borderId="72" xfId="4" applyNumberFormat="1" applyFont="1" applyFill="1" applyBorder="1" applyAlignment="1">
      <alignment vertical="center"/>
    </xf>
    <xf numFmtId="0" fontId="27" fillId="2" borderId="25" xfId="4" applyFont="1" applyFill="1" applyBorder="1" applyAlignment="1">
      <alignment vertical="center"/>
    </xf>
    <xf numFmtId="0" fontId="31" fillId="0" borderId="69" xfId="4" applyFont="1" applyFill="1" applyBorder="1" applyAlignment="1">
      <alignment vertical="center"/>
    </xf>
    <xf numFmtId="3" fontId="31" fillId="0" borderId="23" xfId="4" applyNumberFormat="1" applyFont="1" applyFill="1" applyBorder="1" applyAlignment="1">
      <alignment vertical="center"/>
    </xf>
    <xf numFmtId="3" fontId="7" fillId="0" borderId="65" xfId="4" applyNumberFormat="1" applyFont="1" applyFill="1" applyBorder="1" applyAlignment="1">
      <alignment vertical="center"/>
    </xf>
    <xf numFmtId="3" fontId="7" fillId="0" borderId="29" xfId="4" applyNumberFormat="1" applyFont="1" applyFill="1" applyBorder="1" applyAlignment="1">
      <alignment vertical="center"/>
    </xf>
    <xf numFmtId="0" fontId="31" fillId="0" borderId="81" xfId="4" applyFont="1" applyFill="1" applyBorder="1" applyAlignment="1">
      <alignment vertical="center"/>
    </xf>
    <xf numFmtId="43" fontId="24" fillId="6" borderId="29" xfId="1" applyFont="1" applyFill="1" applyBorder="1" applyAlignment="1">
      <alignment vertical="center"/>
    </xf>
    <xf numFmtId="43" fontId="27" fillId="2" borderId="29" xfId="1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8" xfId="4" applyNumberFormat="1" applyFont="1" applyFill="1" applyBorder="1" applyAlignment="1">
      <alignment vertical="center"/>
    </xf>
    <xf numFmtId="0" fontId="31" fillId="0" borderId="114" xfId="4" applyFont="1" applyFill="1" applyBorder="1" applyAlignment="1">
      <alignment vertical="center"/>
    </xf>
    <xf numFmtId="3" fontId="0" fillId="2" borderId="0" xfId="0" applyNumberFormat="1" applyFont="1" applyFill="1" applyAlignment="1">
      <alignment vertical="center"/>
    </xf>
    <xf numFmtId="43" fontId="31" fillId="0" borderId="29" xfId="1" applyFont="1" applyFill="1" applyBorder="1" applyAlignment="1">
      <alignment vertical="center"/>
    </xf>
    <xf numFmtId="43" fontId="24" fillId="6" borderId="9" xfId="1" applyFont="1" applyFill="1" applyBorder="1" applyAlignment="1">
      <alignment vertical="center"/>
    </xf>
    <xf numFmtId="3" fontId="24" fillId="32" borderId="105" xfId="4" applyNumberFormat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27" fillId="13" borderId="20" xfId="4" applyFont="1" applyFill="1" applyBorder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7" fillId="0" borderId="78" xfId="4" applyNumberFormat="1" applyFont="1" applyFill="1" applyBorder="1" applyAlignment="1">
      <alignment horizontal="right" vertical="center"/>
    </xf>
    <xf numFmtId="3" fontId="7" fillId="0" borderId="51" xfId="4" applyNumberFormat="1" applyFont="1" applyFill="1" applyBorder="1" applyAlignment="1">
      <alignment horizontal="right" vertical="center"/>
    </xf>
    <xf numFmtId="0" fontId="31" fillId="0" borderId="115" xfId="4" applyFont="1" applyFill="1" applyBorder="1" applyAlignment="1">
      <alignment vertical="center"/>
    </xf>
    <xf numFmtId="3" fontId="27" fillId="2" borderId="172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70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2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9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2" fillId="2" borderId="0" xfId="0" applyFont="1" applyFill="1" applyAlignment="1">
      <alignment vertical="center"/>
    </xf>
    <xf numFmtId="3" fontId="31" fillId="2" borderId="65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71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4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5" borderId="20" xfId="0" quotePrefix="1" applyFont="1" applyFill="1" applyBorder="1" applyAlignment="1">
      <alignment horizontal="center" vertical="center"/>
    </xf>
    <xf numFmtId="3" fontId="27" fillId="55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5" fillId="0" borderId="0" xfId="0" applyNumberFormat="1" applyFont="1" applyAlignment="1">
      <alignment vertical="center"/>
    </xf>
    <xf numFmtId="0" fontId="65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4" fillId="6" borderId="30" xfId="0" applyNumberFormat="1" applyFont="1" applyFill="1" applyBorder="1" applyAlignment="1">
      <alignment vertical="center" wrapText="1"/>
    </xf>
    <xf numFmtId="3" fontId="69" fillId="8" borderId="29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9" fillId="8" borderId="30" xfId="0" applyNumberFormat="1" applyFont="1" applyFill="1" applyBorder="1" applyAlignment="1">
      <alignment vertical="center" wrapText="1"/>
    </xf>
    <xf numFmtId="3" fontId="31" fillId="0" borderId="171" xfId="4" applyNumberFormat="1" applyFont="1" applyFill="1" applyBorder="1" applyAlignment="1">
      <alignment vertical="center"/>
    </xf>
    <xf numFmtId="3" fontId="31" fillId="0" borderId="65" xfId="4" applyNumberFormat="1" applyFont="1" applyFill="1" applyBorder="1" applyAlignment="1"/>
    <xf numFmtId="3" fontId="31" fillId="0" borderId="29" xfId="4" applyNumberFormat="1" applyFont="1" applyFill="1" applyBorder="1" applyAlignment="1"/>
    <xf numFmtId="0" fontId="24" fillId="32" borderId="13" xfId="4" applyFont="1" applyFill="1" applyBorder="1" applyAlignment="1">
      <alignment horizontal="center" vertical="center" wrapText="1"/>
    </xf>
    <xf numFmtId="3" fontId="29" fillId="55" borderId="27" xfId="4" applyNumberFormat="1" applyFont="1" applyFill="1" applyBorder="1" applyAlignment="1">
      <alignment horizontal="right" vertical="center"/>
    </xf>
    <xf numFmtId="3" fontId="31" fillId="0" borderId="131" xfId="4" applyNumberFormat="1" applyFont="1" applyFill="1" applyBorder="1" applyAlignment="1">
      <alignment vertical="center"/>
    </xf>
    <xf numFmtId="3" fontId="31" fillId="0" borderId="148" xfId="4" applyNumberFormat="1" applyFont="1" applyFill="1" applyBorder="1" applyAlignment="1">
      <alignment vertical="center"/>
    </xf>
    <xf numFmtId="0" fontId="42" fillId="2" borderId="24" xfId="0" applyFont="1" applyFill="1" applyBorder="1" applyAlignment="1"/>
    <xf numFmtId="0" fontId="61" fillId="2" borderId="24" xfId="0" applyFont="1" applyFill="1" applyBorder="1" applyAlignment="1"/>
    <xf numFmtId="3" fontId="31" fillId="0" borderId="131" xfId="4" applyNumberFormat="1" applyFont="1" applyFill="1" applyBorder="1" applyAlignment="1"/>
    <xf numFmtId="3" fontId="31" fillId="0" borderId="148" xfId="4" applyNumberFormat="1" applyFont="1" applyFill="1" applyBorder="1" applyAlignment="1"/>
    <xf numFmtId="0" fontId="17" fillId="32" borderId="12" xfId="4" applyFont="1" applyFill="1" applyBorder="1" applyAlignment="1">
      <alignment horizontal="center" vertical="center" wrapText="1"/>
    </xf>
    <xf numFmtId="3" fontId="29" fillId="55" borderId="17" xfId="4" applyNumberFormat="1" applyFont="1" applyFill="1" applyBorder="1" applyAlignment="1">
      <alignment horizontal="right" vertical="center"/>
    </xf>
    <xf numFmtId="3" fontId="29" fillId="55" borderId="23" xfId="112" quotePrefix="1" applyNumberFormat="1" applyFont="1" applyFill="1" applyBorder="1" applyAlignment="1">
      <alignment horizontal="right" vertical="center"/>
    </xf>
    <xf numFmtId="3" fontId="31" fillId="0" borderId="173" xfId="4" applyNumberFormat="1" applyFont="1" applyFill="1" applyBorder="1" applyAlignment="1">
      <alignment vertical="center"/>
    </xf>
    <xf numFmtId="3" fontId="25" fillId="6" borderId="139" xfId="0" applyNumberFormat="1" applyFont="1" applyFill="1" applyBorder="1" applyAlignment="1">
      <alignment vertical="top"/>
    </xf>
    <xf numFmtId="3" fontId="25" fillId="22" borderId="139" xfId="0" applyNumberFormat="1" applyFont="1" applyFill="1" applyBorder="1" applyAlignment="1">
      <alignment vertical="top"/>
    </xf>
    <xf numFmtId="3" fontId="27" fillId="2" borderId="139" xfId="0" applyNumberFormat="1" applyFont="1" applyFill="1" applyBorder="1" applyAlignment="1">
      <alignment vertical="top"/>
    </xf>
    <xf numFmtId="3" fontId="31" fillId="25" borderId="171" xfId="0" applyNumberFormat="1" applyFont="1" applyFill="1" applyBorder="1" applyAlignment="1">
      <alignment vertical="top"/>
    </xf>
    <xf numFmtId="3" fontId="27" fillId="0" borderId="139" xfId="0" applyNumberFormat="1" applyFont="1" applyFill="1" applyBorder="1" applyAlignment="1">
      <alignment vertical="top"/>
    </xf>
    <xf numFmtId="3" fontId="31" fillId="0" borderId="172" xfId="4" applyNumberFormat="1" applyFont="1" applyFill="1" applyBorder="1" applyAlignment="1"/>
    <xf numFmtId="0" fontId="24" fillId="8" borderId="171" xfId="4" applyFont="1" applyFill="1" applyBorder="1" applyAlignment="1">
      <alignment vertical="center" wrapText="1"/>
    </xf>
    <xf numFmtId="0" fontId="24" fillId="8" borderId="171" xfId="4" applyFont="1" applyFill="1" applyBorder="1" applyAlignment="1">
      <alignment horizontal="center" vertical="center" wrapText="1"/>
    </xf>
    <xf numFmtId="3" fontId="24" fillId="8" borderId="171" xfId="4" applyNumberFormat="1" applyFont="1" applyFill="1" applyBorder="1" applyAlignment="1">
      <alignment horizontal="right" vertical="center"/>
    </xf>
    <xf numFmtId="3" fontId="24" fillId="22" borderId="171" xfId="4" applyNumberFormat="1" applyFont="1" applyFill="1" applyBorder="1" applyAlignment="1">
      <alignment horizontal="right" vertical="center"/>
    </xf>
    <xf numFmtId="0" fontId="24" fillId="6" borderId="171" xfId="4" applyFont="1" applyFill="1" applyBorder="1" applyAlignment="1">
      <alignment horizontal="left" vertical="center"/>
    </xf>
    <xf numFmtId="0" fontId="25" fillId="6" borderId="171" xfId="4" applyFont="1" applyFill="1" applyBorder="1" applyAlignment="1">
      <alignment horizontal="left" vertical="center"/>
    </xf>
    <xf numFmtId="3" fontId="25" fillId="22" borderId="171" xfId="4" applyNumberFormat="1" applyFont="1" applyFill="1" applyBorder="1" applyAlignment="1">
      <alignment horizontal="right" vertical="center"/>
    </xf>
    <xf numFmtId="3" fontId="29" fillId="2" borderId="171" xfId="4" applyNumberFormat="1" applyFont="1" applyFill="1" applyBorder="1" applyAlignment="1">
      <alignment vertical="top" wrapText="1"/>
    </xf>
    <xf numFmtId="0" fontId="7" fillId="0" borderId="171" xfId="4" applyFont="1" applyFill="1" applyBorder="1" applyAlignment="1">
      <alignment vertical="top"/>
    </xf>
    <xf numFmtId="3" fontId="7" fillId="25" borderId="171" xfId="4" applyNumberFormat="1" applyFont="1" applyFill="1" applyBorder="1" applyAlignment="1">
      <alignment horizontal="right" vertical="center"/>
    </xf>
    <xf numFmtId="3" fontId="32" fillId="0" borderId="171" xfId="6" applyNumberFormat="1" applyFont="1" applyFill="1" applyBorder="1" applyAlignment="1">
      <alignment vertical="center"/>
    </xf>
    <xf numFmtId="0" fontId="29" fillId="2" borderId="171" xfId="4" applyFont="1" applyFill="1" applyBorder="1" applyAlignment="1">
      <alignment vertical="top"/>
    </xf>
    <xf numFmtId="3" fontId="33" fillId="0" borderId="171" xfId="6" applyNumberFormat="1" applyFont="1" applyFill="1" applyBorder="1" applyAlignment="1">
      <alignment vertical="center"/>
    </xf>
    <xf numFmtId="3" fontId="33" fillId="25" borderId="171" xfId="6" applyNumberFormat="1" applyFont="1" applyFill="1" applyBorder="1" applyAlignment="1">
      <alignment vertical="center"/>
    </xf>
    <xf numFmtId="3" fontId="24" fillId="6" borderId="171" xfId="4" applyNumberFormat="1" applyFont="1" applyFill="1" applyBorder="1" applyAlignment="1"/>
    <xf numFmtId="3" fontId="31" fillId="0" borderId="171" xfId="0" applyNumberFormat="1" applyFont="1" applyFill="1" applyBorder="1" applyAlignment="1">
      <alignment horizontal="right"/>
    </xf>
    <xf numFmtId="3" fontId="31" fillId="0" borderId="171" xfId="0" applyNumberFormat="1" applyFont="1" applyFill="1" applyBorder="1" applyAlignment="1">
      <alignment horizontal="right" vertical="center"/>
    </xf>
    <xf numFmtId="3" fontId="31" fillId="0" borderId="172" xfId="4" applyNumberFormat="1" applyFont="1" applyFill="1" applyBorder="1" applyAlignment="1">
      <alignment vertical="center"/>
    </xf>
    <xf numFmtId="3" fontId="24" fillId="6" borderId="172" xfId="4" applyNumberFormat="1" applyFont="1" applyFill="1" applyBorder="1" applyAlignment="1">
      <alignment horizontal="right" vertical="center"/>
    </xf>
    <xf numFmtId="3" fontId="27" fillId="13" borderId="177" xfId="4" applyNumberFormat="1" applyFont="1" applyFill="1" applyBorder="1" applyAlignment="1">
      <alignment vertical="center" wrapText="1"/>
    </xf>
    <xf numFmtId="3" fontId="32" fillId="13" borderId="172" xfId="6" applyNumberFormat="1" applyFont="1" applyFill="1" applyBorder="1" applyAlignment="1">
      <alignment vertical="center"/>
    </xf>
    <xf numFmtId="0" fontId="7" fillId="13" borderId="177" xfId="4" applyFont="1" applyFill="1" applyBorder="1" applyAlignment="1">
      <alignment vertical="center"/>
    </xf>
    <xf numFmtId="0" fontId="27" fillId="13" borderId="177" xfId="4" applyFont="1" applyFill="1" applyBorder="1" applyAlignment="1">
      <alignment vertical="center"/>
    </xf>
    <xf numFmtId="0" fontId="27" fillId="13" borderId="176" xfId="4" applyFont="1" applyFill="1" applyBorder="1" applyAlignment="1">
      <alignment vertical="center"/>
    </xf>
    <xf numFmtId="3" fontId="33" fillId="13" borderId="172" xfId="6" applyNumberFormat="1" applyFont="1" applyFill="1" applyBorder="1" applyAlignment="1">
      <alignment vertical="center"/>
    </xf>
    <xf numFmtId="0" fontId="7" fillId="13" borderId="176" xfId="4" applyFont="1" applyFill="1" applyBorder="1" applyAlignment="1">
      <alignment vertical="center"/>
    </xf>
    <xf numFmtId="3" fontId="32" fillId="13" borderId="148" xfId="6" applyNumberFormat="1" applyFont="1" applyFill="1" applyBorder="1" applyAlignment="1">
      <alignment vertical="center"/>
    </xf>
    <xf numFmtId="3" fontId="25" fillId="6" borderId="172" xfId="4" applyNumberFormat="1" applyFont="1" applyFill="1" applyBorder="1" applyAlignment="1">
      <alignment horizontal="right" vertical="center"/>
    </xf>
    <xf numFmtId="0" fontId="7" fillId="0" borderId="177" xfId="4" applyFont="1" applyFill="1" applyBorder="1" applyAlignment="1">
      <alignment vertical="center"/>
    </xf>
    <xf numFmtId="3" fontId="31" fillId="25" borderId="172" xfId="4" applyNumberFormat="1" applyFont="1" applyFill="1" applyBorder="1" applyAlignment="1">
      <alignment horizontal="right" vertical="center"/>
    </xf>
    <xf numFmtId="3" fontId="29" fillId="2" borderId="172" xfId="4" applyNumberFormat="1" applyFont="1" applyFill="1" applyBorder="1" applyAlignment="1">
      <alignment vertical="center"/>
    </xf>
    <xf numFmtId="0" fontId="25" fillId="6" borderId="176" xfId="4" applyFont="1" applyFill="1" applyBorder="1" applyAlignment="1">
      <alignment horizontal="center" vertical="center"/>
    </xf>
    <xf numFmtId="43" fontId="27" fillId="0" borderId="172" xfId="1" applyFont="1" applyFill="1" applyBorder="1" applyAlignment="1">
      <alignment horizontal="right" vertical="center"/>
    </xf>
    <xf numFmtId="43" fontId="7" fillId="0" borderId="172" xfId="1" applyFont="1" applyFill="1" applyBorder="1" applyAlignment="1">
      <alignment horizontal="right" vertical="center"/>
    </xf>
    <xf numFmtId="0" fontId="27" fillId="2" borderId="135" xfId="4" applyFont="1" applyFill="1" applyBorder="1" applyAlignment="1">
      <alignment vertical="center"/>
    </xf>
    <xf numFmtId="43" fontId="33" fillId="0" borderId="172" xfId="1" applyFont="1" applyFill="1" applyBorder="1" applyAlignment="1">
      <alignment vertical="center"/>
    </xf>
    <xf numFmtId="3" fontId="27" fillId="2" borderId="177" xfId="4" applyNumberFormat="1" applyFont="1" applyFill="1" applyBorder="1" applyAlignment="1">
      <alignment vertical="center" wrapText="1"/>
    </xf>
    <xf numFmtId="0" fontId="7" fillId="0" borderId="150" xfId="4" applyFont="1" applyFill="1" applyBorder="1" applyAlignment="1">
      <alignment vertical="center"/>
    </xf>
    <xf numFmtId="0" fontId="31" fillId="0" borderId="135" xfId="4" applyFont="1" applyFill="1" applyBorder="1" applyAlignment="1">
      <alignment vertical="center"/>
    </xf>
    <xf numFmtId="3" fontId="7" fillId="0" borderId="182" xfId="4" applyNumberFormat="1" applyFont="1" applyFill="1" applyBorder="1" applyAlignment="1">
      <alignment horizontal="right" vertical="center"/>
    </xf>
    <xf numFmtId="43" fontId="33" fillId="0" borderId="171" xfId="1" applyFont="1" applyFill="1" applyBorder="1" applyAlignment="1">
      <alignment vertical="center"/>
    </xf>
    <xf numFmtId="43" fontId="7" fillId="0" borderId="131" xfId="1" applyFont="1" applyFill="1" applyBorder="1" applyAlignment="1">
      <alignment horizontal="right" vertical="center"/>
    </xf>
    <xf numFmtId="43" fontId="33" fillId="0" borderId="172" xfId="1" applyFont="1" applyFill="1" applyBorder="1" applyAlignment="1">
      <alignment horizontal="right" vertical="center"/>
    </xf>
    <xf numFmtId="3" fontId="31" fillId="0" borderId="148" xfId="4" applyNumberFormat="1" applyFont="1" applyFill="1" applyBorder="1" applyAlignment="1">
      <alignment horizontal="right" vertical="center"/>
    </xf>
    <xf numFmtId="43" fontId="23" fillId="6" borderId="172" xfId="1" applyFont="1" applyFill="1" applyBorder="1" applyAlignment="1">
      <alignment horizontal="right" vertical="center"/>
    </xf>
    <xf numFmtId="3" fontId="7" fillId="0" borderId="173" xfId="4" applyNumberFormat="1" applyFont="1" applyFill="1" applyBorder="1" applyAlignment="1">
      <alignment horizontal="right" vertical="center"/>
    </xf>
    <xf numFmtId="43" fontId="31" fillId="0" borderId="148" xfId="1" applyFont="1" applyFill="1" applyBorder="1" applyAlignment="1">
      <alignment horizontal="right" vertical="center"/>
    </xf>
    <xf numFmtId="3" fontId="31" fillId="25" borderId="148" xfId="4" applyNumberFormat="1" applyFont="1" applyFill="1" applyBorder="1" applyAlignment="1">
      <alignment horizontal="right" vertical="center"/>
    </xf>
    <xf numFmtId="0" fontId="25" fillId="2" borderId="42" xfId="0" applyFont="1" applyFill="1" applyBorder="1" applyAlignment="1">
      <alignment horizontal="center" vertical="top"/>
    </xf>
    <xf numFmtId="3" fontId="27" fillId="2" borderId="181" xfId="4" applyNumberFormat="1" applyFont="1" applyFill="1" applyBorder="1" applyAlignment="1">
      <alignment vertical="center" wrapText="1"/>
    </xf>
    <xf numFmtId="0" fontId="7" fillId="0" borderId="171" xfId="4" applyFont="1" applyFill="1" applyBorder="1" applyAlignment="1">
      <alignment vertical="center"/>
    </xf>
    <xf numFmtId="3" fontId="37" fillId="0" borderId="0" xfId="0" applyNumberFormat="1" applyFont="1" applyAlignment="1">
      <alignment vertical="center"/>
    </xf>
    <xf numFmtId="0" fontId="7" fillId="8" borderId="77" xfId="4" applyFont="1" applyFill="1" applyBorder="1" applyAlignment="1">
      <alignment vertical="top"/>
    </xf>
    <xf numFmtId="0" fontId="7" fillId="8" borderId="148" xfId="4" applyFont="1" applyFill="1" applyBorder="1" applyAlignment="1">
      <alignment vertical="top"/>
    </xf>
    <xf numFmtId="3" fontId="31" fillId="8" borderId="131" xfId="4" applyNumberFormat="1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0" fontId="7" fillId="0" borderId="36" xfId="4" applyFont="1" applyFill="1" applyBorder="1" applyAlignment="1">
      <alignment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77" xfId="4" applyFont="1" applyFill="1" applyBorder="1" applyAlignment="1">
      <alignment horizontal="left" vertical="center"/>
    </xf>
    <xf numFmtId="43" fontId="31" fillId="0" borderId="172" xfId="1" applyFont="1" applyFill="1" applyBorder="1" applyAlignment="1">
      <alignment horizontal="right" vertical="center"/>
    </xf>
    <xf numFmtId="43" fontId="29" fillId="2" borderId="172" xfId="1" applyFont="1" applyFill="1" applyBorder="1" applyAlignment="1">
      <alignment vertical="center"/>
    </xf>
    <xf numFmtId="3" fontId="29" fillId="13" borderId="172" xfId="4" applyNumberFormat="1" applyFont="1" applyFill="1" applyBorder="1" applyAlignment="1">
      <alignment horizontal="right" vertical="center"/>
    </xf>
    <xf numFmtId="3" fontId="7" fillId="13" borderId="172" xfId="4" applyNumberFormat="1" applyFont="1" applyFill="1" applyBorder="1" applyAlignment="1">
      <alignment horizontal="right" vertical="center"/>
    </xf>
    <xf numFmtId="0" fontId="29" fillId="13" borderId="177" xfId="4" applyFont="1" applyFill="1" applyBorder="1" applyAlignment="1">
      <alignment vertical="center"/>
    </xf>
    <xf numFmtId="0" fontId="29" fillId="13" borderId="176" xfId="4" applyFont="1" applyFill="1" applyBorder="1" applyAlignment="1">
      <alignment vertical="center"/>
    </xf>
    <xf numFmtId="3" fontId="27" fillId="13" borderId="172" xfId="4" applyNumberFormat="1" applyFont="1" applyFill="1" applyBorder="1" applyAlignment="1">
      <alignment horizontal="right" vertical="center"/>
    </xf>
    <xf numFmtId="0" fontId="27" fillId="13" borderId="135" xfId="4" applyFont="1" applyFill="1" applyBorder="1" applyAlignment="1">
      <alignment vertical="center"/>
    </xf>
    <xf numFmtId="3" fontId="7" fillId="23" borderId="131" xfId="0" applyNumberFormat="1" applyFont="1" applyFill="1" applyBorder="1" applyAlignment="1">
      <alignment vertical="center"/>
    </xf>
    <xf numFmtId="0" fontId="31" fillId="6" borderId="172" xfId="0" applyFont="1" applyFill="1" applyBorder="1" applyAlignment="1">
      <alignment vertical="top"/>
    </xf>
    <xf numFmtId="3" fontId="24" fillId="22" borderId="172" xfId="0" applyNumberFormat="1" applyFont="1" applyFill="1" applyBorder="1" applyAlignment="1">
      <alignment vertical="top"/>
    </xf>
    <xf numFmtId="3" fontId="27" fillId="2" borderId="172" xfId="0" applyNumberFormat="1" applyFont="1" applyFill="1" applyBorder="1" applyAlignment="1">
      <alignment vertical="center"/>
    </xf>
    <xf numFmtId="3" fontId="29" fillId="26" borderId="172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0" fontId="0" fillId="0" borderId="77" xfId="0" applyFont="1" applyBorder="1"/>
    <xf numFmtId="43" fontId="0" fillId="0" borderId="131" xfId="1" applyFont="1" applyBorder="1"/>
    <xf numFmtId="0" fontId="17" fillId="0" borderId="5" xfId="4" applyFont="1" applyBorder="1" applyAlignment="1">
      <alignment horizontal="center" vertical="center"/>
    </xf>
    <xf numFmtId="0" fontId="17" fillId="0" borderId="66" xfId="4" applyFont="1" applyBorder="1" applyAlignment="1">
      <alignment horizontal="center" vertical="center"/>
    </xf>
    <xf numFmtId="3" fontId="27" fillId="21" borderId="182" xfId="4" applyNumberFormat="1" applyFont="1" applyFill="1" applyBorder="1" applyAlignment="1">
      <alignment horizontal="right" vertical="center"/>
    </xf>
    <xf numFmtId="0" fontId="29" fillId="8" borderId="176" xfId="4" applyFont="1" applyFill="1" applyBorder="1" applyAlignment="1">
      <alignment vertical="center"/>
    </xf>
    <xf numFmtId="3" fontId="29" fillId="8" borderId="172" xfId="4" applyNumberFormat="1" applyFont="1" applyFill="1" applyBorder="1" applyAlignment="1">
      <alignment vertical="center"/>
    </xf>
    <xf numFmtId="3" fontId="29" fillId="23" borderId="171" xfId="4" applyNumberFormat="1" applyFont="1" applyFill="1" applyBorder="1" applyAlignment="1">
      <alignment vertical="center"/>
    </xf>
    <xf numFmtId="3" fontId="7" fillId="8" borderId="172" xfId="4" applyNumberFormat="1" applyFont="1" applyFill="1" applyBorder="1" applyAlignment="1">
      <alignment vertical="center"/>
    </xf>
    <xf numFmtId="3" fontId="31" fillId="23" borderId="171" xfId="4" applyNumberFormat="1" applyFont="1" applyFill="1" applyBorder="1" applyAlignment="1">
      <alignment horizontal="right" vertical="center"/>
    </xf>
    <xf numFmtId="3" fontId="7" fillId="8" borderId="177" xfId="4" applyNumberFormat="1" applyFont="1" applyFill="1" applyBorder="1" applyAlignment="1">
      <alignment vertical="center" wrapText="1"/>
    </xf>
    <xf numFmtId="3" fontId="7" fillId="8" borderId="176" xfId="4" applyNumberFormat="1" applyFont="1" applyFill="1" applyBorder="1" applyAlignment="1">
      <alignment vertical="center" wrapText="1"/>
    </xf>
    <xf numFmtId="3" fontId="27" fillId="23" borderId="171" xfId="4" applyNumberFormat="1" applyFont="1" applyFill="1" applyBorder="1" applyAlignment="1">
      <alignment vertical="center"/>
    </xf>
    <xf numFmtId="0" fontId="7" fillId="8" borderId="177" xfId="4" applyFont="1" applyFill="1" applyBorder="1" applyAlignment="1">
      <alignment vertical="center" wrapText="1"/>
    </xf>
    <xf numFmtId="0" fontId="7" fillId="8" borderId="176" xfId="4" applyFont="1" applyFill="1" applyBorder="1" applyAlignment="1">
      <alignment vertical="center" wrapText="1"/>
    </xf>
    <xf numFmtId="0" fontId="7" fillId="8" borderId="135" xfId="4" applyFont="1" applyFill="1" applyBorder="1" applyAlignment="1">
      <alignment vertical="center" wrapText="1"/>
    </xf>
    <xf numFmtId="3" fontId="27" fillId="8" borderId="135" xfId="4" applyNumberFormat="1" applyFont="1" applyFill="1" applyBorder="1" applyAlignment="1">
      <alignment vertical="center" wrapText="1"/>
    </xf>
    <xf numFmtId="3" fontId="27" fillId="8" borderId="176" xfId="4" applyNumberFormat="1" applyFont="1" applyFill="1" applyBorder="1" applyAlignment="1">
      <alignment vertical="center" wrapText="1"/>
    </xf>
    <xf numFmtId="3" fontId="27" fillId="8" borderId="172" xfId="4" applyNumberFormat="1" applyFont="1" applyFill="1" applyBorder="1" applyAlignment="1">
      <alignment vertical="center"/>
    </xf>
    <xf numFmtId="3" fontId="31" fillId="8" borderId="172" xfId="4" applyNumberFormat="1" applyFont="1" applyFill="1" applyBorder="1" applyAlignment="1">
      <alignment vertical="center"/>
    </xf>
    <xf numFmtId="0" fontId="27" fillId="8" borderId="135" xfId="4" applyFont="1" applyFill="1" applyBorder="1" applyAlignment="1">
      <alignment vertical="center"/>
    </xf>
    <xf numFmtId="0" fontId="27" fillId="8" borderId="176" xfId="4" applyFont="1" applyFill="1" applyBorder="1" applyAlignment="1">
      <alignment vertical="center"/>
    </xf>
    <xf numFmtId="0" fontId="7" fillId="8" borderId="177" xfId="4" applyFont="1" applyFill="1" applyBorder="1" applyAlignment="1">
      <alignment vertical="center"/>
    </xf>
    <xf numFmtId="0" fontId="7" fillId="8" borderId="176" xfId="4" applyFont="1" applyFill="1" applyBorder="1" applyAlignment="1">
      <alignment vertical="center"/>
    </xf>
    <xf numFmtId="3" fontId="7" fillId="8" borderId="171" xfId="4" applyNumberFormat="1" applyFont="1" applyFill="1" applyBorder="1" applyAlignment="1">
      <alignment vertical="center"/>
    </xf>
    <xf numFmtId="3" fontId="29" fillId="13" borderId="177" xfId="4" applyNumberFormat="1" applyFont="1" applyFill="1" applyBorder="1" applyAlignment="1">
      <alignment vertical="center" wrapText="1"/>
    </xf>
    <xf numFmtId="3" fontId="29" fillId="13" borderId="176" xfId="4" applyNumberFormat="1" applyFont="1" applyFill="1" applyBorder="1" applyAlignment="1">
      <alignment vertical="center" wrapText="1"/>
    </xf>
    <xf numFmtId="3" fontId="29" fillId="24" borderId="172" xfId="4" applyNumberFormat="1" applyFont="1" applyFill="1" applyBorder="1" applyAlignment="1">
      <alignment horizontal="right" vertical="center"/>
    </xf>
    <xf numFmtId="3" fontId="7" fillId="13" borderId="177" xfId="4" applyNumberFormat="1" applyFont="1" applyFill="1" applyBorder="1" applyAlignment="1">
      <alignment vertical="center" wrapText="1"/>
    </xf>
    <xf numFmtId="3" fontId="7" fillId="13" borderId="176" xfId="4" applyNumberFormat="1" applyFont="1" applyFill="1" applyBorder="1" applyAlignment="1">
      <alignment vertical="center" wrapText="1"/>
    </xf>
    <xf numFmtId="3" fontId="29" fillId="24" borderId="171" xfId="4" applyNumberFormat="1" applyFont="1" applyFill="1" applyBorder="1" applyAlignment="1">
      <alignment horizontal="right" vertical="center"/>
    </xf>
    <xf numFmtId="3" fontId="7" fillId="13" borderId="143" xfId="4" applyNumberFormat="1" applyFont="1" applyFill="1" applyBorder="1" applyAlignment="1">
      <alignment vertical="center" wrapText="1"/>
    </xf>
    <xf numFmtId="3" fontId="7" fillId="13" borderId="141" xfId="4" applyNumberFormat="1" applyFont="1" applyFill="1" applyBorder="1" applyAlignment="1">
      <alignment vertical="center" wrapText="1"/>
    </xf>
    <xf numFmtId="3" fontId="32" fillId="13" borderId="173" xfId="6" applyNumberFormat="1" applyFont="1" applyFill="1" applyBorder="1" applyAlignment="1">
      <alignment vertical="center"/>
    </xf>
    <xf numFmtId="0" fontId="25" fillId="0" borderId="171" xfId="4" applyFont="1" applyBorder="1" applyAlignment="1">
      <alignment horizontal="center" vertical="center" wrapText="1"/>
    </xf>
    <xf numFmtId="0" fontId="24" fillId="32" borderId="171" xfId="4" applyFont="1" applyFill="1" applyBorder="1" applyAlignment="1">
      <alignment horizontal="center" vertical="center" wrapText="1"/>
    </xf>
    <xf numFmtId="0" fontId="21" fillId="2" borderId="176" xfId="0" applyFont="1" applyFill="1" applyBorder="1" applyAlignment="1">
      <alignment horizontal="center" vertical="top"/>
    </xf>
    <xf numFmtId="0" fontId="21" fillId="2" borderId="171" xfId="0" applyFont="1" applyFill="1" applyBorder="1" applyAlignment="1">
      <alignment horizontal="center" vertical="top"/>
    </xf>
    <xf numFmtId="0" fontId="21" fillId="2" borderId="171" xfId="0" quotePrefix="1" applyFont="1" applyFill="1" applyBorder="1" applyAlignment="1">
      <alignment horizontal="center" vertical="top"/>
    </xf>
    <xf numFmtId="0" fontId="21" fillId="26" borderId="171" xfId="0" quotePrefix="1" applyFont="1" applyFill="1" applyBorder="1" applyAlignment="1">
      <alignment horizontal="center" vertical="top"/>
    </xf>
    <xf numFmtId="0" fontId="21" fillId="2" borderId="174" xfId="0" quotePrefix="1" applyFont="1" applyFill="1" applyBorder="1" applyAlignment="1">
      <alignment horizontal="center" vertical="top"/>
    </xf>
    <xf numFmtId="0" fontId="27" fillId="55" borderId="171" xfId="4" applyFont="1" applyFill="1" applyBorder="1" applyAlignment="1">
      <alignment horizontal="left" vertical="center"/>
    </xf>
    <xf numFmtId="3" fontId="27" fillId="55" borderId="171" xfId="4" applyNumberFormat="1" applyFont="1" applyFill="1" applyBorder="1" applyAlignment="1">
      <alignment horizontal="right" vertical="center"/>
    </xf>
    <xf numFmtId="3" fontId="27" fillId="21" borderId="171" xfId="4" applyNumberFormat="1" applyFont="1" applyFill="1" applyBorder="1" applyAlignment="1">
      <alignment horizontal="right" vertical="center"/>
    </xf>
    <xf numFmtId="0" fontId="18" fillId="8" borderId="174" xfId="4" applyFont="1" applyFill="1" applyBorder="1" applyAlignment="1">
      <alignment horizontal="center" vertical="top"/>
    </xf>
    <xf numFmtId="0" fontId="27" fillId="55" borderId="171" xfId="0" applyFont="1" applyFill="1" applyBorder="1" applyAlignment="1">
      <alignment horizontal="left" vertical="top"/>
    </xf>
    <xf numFmtId="0" fontId="28" fillId="55" borderId="171" xfId="0" quotePrefix="1" applyFont="1" applyFill="1" applyBorder="1" applyAlignment="1">
      <alignment horizontal="center" vertical="top"/>
    </xf>
    <xf numFmtId="3" fontId="27" fillId="55" borderId="171" xfId="0" quotePrefix="1" applyNumberFormat="1" applyFont="1" applyFill="1" applyBorder="1" applyAlignment="1">
      <alignment horizontal="right" vertical="top"/>
    </xf>
    <xf numFmtId="3" fontId="24" fillId="6" borderId="171" xfId="4" applyNumberFormat="1" applyFont="1" applyFill="1" applyBorder="1" applyAlignment="1">
      <alignment horizontal="right" vertical="center"/>
    </xf>
    <xf numFmtId="3" fontId="18" fillId="8" borderId="174" xfId="4" applyNumberFormat="1" applyFont="1" applyFill="1" applyBorder="1" applyAlignment="1">
      <alignment horizontal="center" vertical="top"/>
    </xf>
    <xf numFmtId="3" fontId="29" fillId="8" borderId="171" xfId="4" applyNumberFormat="1" applyFont="1" applyFill="1" applyBorder="1" applyAlignment="1">
      <alignment vertical="top" wrapText="1"/>
    </xf>
    <xf numFmtId="3" fontId="29" fillId="8" borderId="171" xfId="4" applyNumberFormat="1" applyFont="1" applyFill="1" applyBorder="1" applyAlignment="1">
      <alignment horizontal="right" vertical="center"/>
    </xf>
    <xf numFmtId="3" fontId="29" fillId="23" borderId="171" xfId="4" applyNumberFormat="1" applyFont="1" applyFill="1" applyBorder="1" applyAlignment="1">
      <alignment horizontal="right" vertical="center"/>
    </xf>
    <xf numFmtId="3" fontId="7" fillId="8" borderId="171" xfId="4" applyNumberFormat="1" applyFont="1" applyFill="1" applyBorder="1" applyAlignment="1">
      <alignment vertical="top" wrapText="1"/>
    </xf>
    <xf numFmtId="3" fontId="32" fillId="8" borderId="171" xfId="0" applyNumberFormat="1" applyFont="1" applyFill="1" applyBorder="1"/>
    <xf numFmtId="3" fontId="28" fillId="23" borderId="171" xfId="4" applyNumberFormat="1" applyFont="1" applyFill="1" applyBorder="1" applyAlignment="1">
      <alignment horizontal="right" vertical="center"/>
    </xf>
    <xf numFmtId="0" fontId="7" fillId="8" borderId="171" xfId="4" applyFont="1" applyFill="1" applyBorder="1" applyAlignment="1">
      <alignment vertical="top" wrapText="1"/>
    </xf>
    <xf numFmtId="0" fontId="29" fillId="8" borderId="171" xfId="4" applyFont="1" applyFill="1" applyBorder="1" applyAlignment="1">
      <alignment vertical="top"/>
    </xf>
    <xf numFmtId="0" fontId="7" fillId="8" borderId="181" xfId="4" applyFont="1" applyFill="1" applyBorder="1" applyAlignment="1">
      <alignment vertical="top" wrapText="1"/>
    </xf>
    <xf numFmtId="3" fontId="28" fillId="8" borderId="171" xfId="4" applyNumberFormat="1" applyFont="1" applyFill="1" applyBorder="1" applyAlignment="1">
      <alignment horizontal="right" vertical="center"/>
    </xf>
    <xf numFmtId="3" fontId="7" fillId="8" borderId="175" xfId="4" applyNumberFormat="1" applyFont="1" applyFill="1" applyBorder="1" applyAlignment="1">
      <alignment vertical="top" wrapText="1"/>
    </xf>
    <xf numFmtId="3" fontId="32" fillId="8" borderId="171" xfId="6" applyNumberFormat="1" applyFont="1" applyFill="1" applyBorder="1" applyAlignment="1">
      <alignment vertical="center"/>
    </xf>
    <xf numFmtId="0" fontId="25" fillId="6" borderId="175" xfId="4" applyFont="1" applyFill="1" applyBorder="1" applyAlignment="1">
      <alignment horizontal="left" vertical="center"/>
    </xf>
    <xf numFmtId="3" fontId="29" fillId="8" borderId="175" xfId="4" applyNumberFormat="1" applyFont="1" applyFill="1" applyBorder="1" applyAlignment="1">
      <alignment vertical="top" wrapText="1"/>
    </xf>
    <xf numFmtId="3" fontId="27" fillId="8" borderId="171" xfId="4" applyNumberFormat="1" applyFont="1" applyFill="1" applyBorder="1" applyAlignment="1">
      <alignment vertical="top" wrapText="1"/>
    </xf>
    <xf numFmtId="3" fontId="33" fillId="8" borderId="171" xfId="6" applyNumberFormat="1" applyFont="1" applyFill="1" applyBorder="1" applyAlignment="1">
      <alignment vertical="center"/>
    </xf>
    <xf numFmtId="0" fontId="7" fillId="8" borderId="175" xfId="4" applyFont="1" applyFill="1" applyBorder="1" applyAlignment="1">
      <alignment vertical="top" wrapText="1"/>
    </xf>
    <xf numFmtId="0" fontId="7" fillId="8" borderId="171" xfId="4" applyFont="1" applyFill="1" applyBorder="1" applyAlignment="1">
      <alignment horizontal="left" vertical="center"/>
    </xf>
    <xf numFmtId="0" fontId="27" fillId="8" borderId="175" xfId="4" applyFont="1" applyFill="1" applyBorder="1" applyAlignment="1">
      <alignment vertical="center"/>
    </xf>
    <xf numFmtId="0" fontId="27" fillId="8" borderId="171" xfId="4" applyFont="1" applyFill="1" applyBorder="1" applyAlignment="1">
      <alignment vertical="center"/>
    </xf>
    <xf numFmtId="0" fontId="18" fillId="8" borderId="174" xfId="4" applyFont="1" applyFill="1" applyBorder="1" applyAlignment="1">
      <alignment horizontal="center" vertical="center"/>
    </xf>
    <xf numFmtId="3" fontId="65" fillId="8" borderId="182" xfId="6" applyNumberFormat="1" applyFont="1" applyFill="1" applyBorder="1" applyAlignment="1">
      <alignment vertical="center"/>
    </xf>
    <xf numFmtId="3" fontId="27" fillId="23" borderId="171" xfId="4" applyNumberFormat="1" applyFont="1" applyFill="1" applyBorder="1" applyAlignment="1">
      <alignment horizontal="right" vertical="center"/>
    </xf>
    <xf numFmtId="3" fontId="7" fillId="25" borderId="171" xfId="4" applyNumberFormat="1" applyFont="1" applyFill="1" applyBorder="1" applyAlignment="1">
      <alignment horizontal="center" vertical="center"/>
    </xf>
    <xf numFmtId="3" fontId="33" fillId="23" borderId="171" xfId="6" applyNumberFormat="1" applyFont="1" applyFill="1" applyBorder="1" applyAlignment="1">
      <alignment vertical="center"/>
    </xf>
    <xf numFmtId="0" fontId="29" fillId="2" borderId="171" xfId="4" applyFont="1" applyFill="1" applyBorder="1" applyAlignment="1">
      <alignment vertical="center"/>
    </xf>
    <xf numFmtId="0" fontId="32" fillId="0" borderId="171" xfId="0" applyFont="1" applyBorder="1"/>
    <xf numFmtId="0" fontId="34" fillId="0" borderId="51" xfId="0" applyFont="1" applyFill="1" applyBorder="1" applyAlignment="1">
      <alignment vertical="top"/>
    </xf>
    <xf numFmtId="3" fontId="27" fillId="8" borderId="171" xfId="0" applyNumberFormat="1" applyFont="1" applyFill="1" applyBorder="1" applyAlignment="1">
      <alignment vertical="center"/>
    </xf>
    <xf numFmtId="3" fontId="27" fillId="23" borderId="171" xfId="0" applyNumberFormat="1" applyFont="1" applyFill="1" applyBorder="1" applyAlignment="1">
      <alignment vertical="center"/>
    </xf>
    <xf numFmtId="3" fontId="31" fillId="28" borderId="171" xfId="0" applyNumberFormat="1" applyFont="1" applyFill="1" applyBorder="1" applyAlignment="1">
      <alignment vertical="center"/>
    </xf>
    <xf numFmtId="3" fontId="24" fillId="22" borderId="70" xfId="0" applyNumberFormat="1" applyFont="1" applyFill="1" applyBorder="1" applyAlignment="1">
      <alignment vertical="top"/>
    </xf>
    <xf numFmtId="0" fontId="74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6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2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0" borderId="66" xfId="0" quotePrefix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71" fillId="4" borderId="16" xfId="4" applyFont="1" applyFill="1" applyBorder="1" applyAlignment="1">
      <alignment horizontal="left" vertical="center"/>
    </xf>
    <xf numFmtId="3" fontId="71" fillId="4" borderId="17" xfId="0" applyNumberFormat="1" applyFont="1" applyFill="1" applyBorder="1" applyAlignment="1">
      <alignment horizontal="right" vertical="center" wrapText="1"/>
    </xf>
    <xf numFmtId="3" fontId="71" fillId="4" borderId="45" xfId="0" applyNumberFormat="1" applyFont="1" applyFill="1" applyBorder="1" applyAlignment="1">
      <alignment horizontal="right" vertical="center" wrapText="1"/>
    </xf>
    <xf numFmtId="3" fontId="71" fillId="5" borderId="19" xfId="0" applyNumberFormat="1" applyFont="1" applyFill="1" applyBorder="1" applyAlignment="1">
      <alignment horizontal="right" vertical="center" wrapText="1"/>
    </xf>
    <xf numFmtId="3" fontId="0" fillId="0" borderId="85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36" fillId="4" borderId="36" xfId="0" applyNumberFormat="1" applyFont="1" applyFill="1" applyBorder="1" applyAlignment="1">
      <alignment horizontal="right" vertical="center" wrapText="1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3" fontId="36" fillId="4" borderId="69" xfId="0" applyNumberFormat="1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1" fillId="6" borderId="28" xfId="4" applyFont="1" applyFill="1" applyBorder="1" applyAlignment="1">
      <alignment horizontal="left" vertical="center"/>
    </xf>
    <xf numFmtId="3" fontId="71" fillId="6" borderId="30" xfId="0" applyNumberFormat="1" applyFont="1" applyFill="1" applyBorder="1" applyAlignment="1">
      <alignment horizontal="right" vertical="center" wrapText="1"/>
    </xf>
    <xf numFmtId="3" fontId="71" fillId="6" borderId="34" xfId="0" applyNumberFormat="1" applyFont="1" applyFill="1" applyBorder="1" applyAlignment="1">
      <alignment horizontal="right" vertical="center" wrapText="1"/>
    </xf>
    <xf numFmtId="3" fontId="71" fillId="7" borderId="32" xfId="0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vertical="center"/>
    </xf>
    <xf numFmtId="0" fontId="68" fillId="8" borderId="20" xfId="4" applyFont="1" applyFill="1" applyBorder="1" applyAlignment="1">
      <alignment vertical="center"/>
    </xf>
    <xf numFmtId="3" fontId="68" fillId="8" borderId="9" xfId="0" applyNumberFormat="1" applyFont="1" applyFill="1" applyBorder="1" applyAlignment="1">
      <alignment horizontal="right" vertical="center" wrapText="1"/>
    </xf>
    <xf numFmtId="3" fontId="68" fillId="8" borderId="36" xfId="0" applyNumberFormat="1" applyFont="1" applyFill="1" applyBorder="1" applyAlignment="1">
      <alignment horizontal="right" vertical="center" wrapText="1"/>
    </xf>
    <xf numFmtId="3" fontId="68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3" fontId="8" fillId="0" borderId="36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43" fontId="8" fillId="0" borderId="29" xfId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43" fontId="8" fillId="0" borderId="27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3" fontId="8" fillId="0" borderId="104" xfId="0" applyNumberFormat="1" applyFont="1" applyFill="1" applyBorder="1" applyAlignment="1">
      <alignment vertical="center" wrapText="1"/>
    </xf>
    <xf numFmtId="3" fontId="8" fillId="0" borderId="105" xfId="0" applyNumberFormat="1" applyFont="1" applyFill="1" applyBorder="1" applyAlignment="1">
      <alignment vertical="center" wrapText="1"/>
    </xf>
    <xf numFmtId="43" fontId="6" fillId="3" borderId="21" xfId="1" applyFont="1" applyFill="1" applyBorder="1" applyAlignment="1">
      <alignment vertical="center" wrapText="1"/>
    </xf>
    <xf numFmtId="3" fontId="68" fillId="9" borderId="32" xfId="0" applyNumberFormat="1" applyFont="1" applyFill="1" applyBorder="1" applyAlignment="1">
      <alignment vertical="center" wrapText="1"/>
    </xf>
    <xf numFmtId="0" fontId="77" fillId="0" borderId="0" xfId="0" applyFont="1" applyFill="1" applyBorder="1" applyAlignment="1"/>
    <xf numFmtId="3" fontId="69" fillId="8" borderId="34" xfId="0" applyNumberFormat="1" applyFont="1" applyFill="1" applyBorder="1" applyAlignment="1">
      <alignment vertical="center" wrapText="1"/>
    </xf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6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73" fillId="57" borderId="38" xfId="0" applyFont="1" applyFill="1" applyBorder="1" applyAlignment="1">
      <alignment vertical="center"/>
    </xf>
    <xf numFmtId="3" fontId="64" fillId="57" borderId="39" xfId="0" applyNumberFormat="1" applyFont="1" applyFill="1" applyBorder="1" applyAlignment="1">
      <alignment vertical="center" wrapText="1"/>
    </xf>
    <xf numFmtId="3" fontId="64" fillId="57" borderId="80" xfId="0" applyNumberFormat="1" applyFont="1" applyFill="1" applyBorder="1" applyAlignment="1">
      <alignment vertical="center" wrapText="1"/>
    </xf>
    <xf numFmtId="3" fontId="64" fillId="57" borderId="40" xfId="0" applyNumberFormat="1" applyFont="1" applyFill="1" applyBorder="1" applyAlignment="1">
      <alignment vertical="center" wrapText="1"/>
    </xf>
    <xf numFmtId="3" fontId="77" fillId="0" borderId="0" xfId="0" applyNumberFormat="1" applyFont="1" applyFill="1" applyAlignment="1">
      <alignment vertical="center"/>
    </xf>
    <xf numFmtId="3" fontId="77" fillId="0" borderId="0" xfId="0" applyNumberFormat="1" applyFont="1" applyFill="1" applyBorder="1" applyAlignment="1">
      <alignment vertical="center"/>
    </xf>
    <xf numFmtId="3" fontId="64" fillId="57" borderId="12" xfId="0" applyNumberFormat="1" applyFont="1" applyFill="1" applyBorder="1" applyAlignment="1">
      <alignment vertical="center" wrapText="1"/>
    </xf>
    <xf numFmtId="3" fontId="64" fillId="57" borderId="69" xfId="0" applyNumberFormat="1" applyFont="1" applyFill="1" applyBorder="1" applyAlignment="1">
      <alignment vertical="center" wrapText="1"/>
    </xf>
    <xf numFmtId="3" fontId="64" fillId="57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42" fillId="2" borderId="0" xfId="0" applyFont="1" applyFill="1" applyBorder="1" applyAlignment="1">
      <alignment horizontal="center" vertical="center"/>
    </xf>
    <xf numFmtId="3" fontId="71" fillId="4" borderId="44" xfId="0" applyNumberFormat="1" applyFont="1" applyFill="1" applyBorder="1" applyAlignment="1">
      <alignment horizontal="right" vertical="center" wrapText="1"/>
    </xf>
    <xf numFmtId="3" fontId="71" fillId="5" borderId="45" xfId="0" applyNumberFormat="1" applyFont="1" applyFill="1" applyBorder="1" applyAlignment="1">
      <alignment horizontal="right" vertical="center" wrapText="1"/>
    </xf>
    <xf numFmtId="3" fontId="36" fillId="4" borderId="46" xfId="0" quotePrefix="1" applyNumberFormat="1" applyFont="1" applyFill="1" applyBorder="1" applyAlignment="1">
      <alignment horizontal="right" vertical="center"/>
    </xf>
    <xf numFmtId="0" fontId="36" fillId="4" borderId="22" xfId="0" applyFont="1" applyFill="1" applyBorder="1" applyAlignment="1">
      <alignment horizontal="left"/>
    </xf>
    <xf numFmtId="3" fontId="36" fillId="4" borderId="47" xfId="0" quotePrefix="1" applyNumberFormat="1" applyFont="1" applyFill="1" applyBorder="1" applyAlignment="1">
      <alignment horizontal="right"/>
    </xf>
    <xf numFmtId="3" fontId="36" fillId="4" borderId="48" xfId="0" quotePrefix="1" applyNumberFormat="1" applyFont="1" applyFill="1" applyBorder="1" applyAlignment="1">
      <alignment horizontal="right"/>
    </xf>
    <xf numFmtId="3" fontId="71" fillId="7" borderId="49" xfId="0" applyNumberFormat="1" applyFont="1" applyFill="1" applyBorder="1" applyAlignment="1">
      <alignment horizontal="right" vertical="center" wrapText="1"/>
    </xf>
    <xf numFmtId="3" fontId="69" fillId="8" borderId="35" xfId="0" applyNumberFormat="1" applyFont="1" applyFill="1" applyBorder="1" applyAlignment="1">
      <alignment horizontal="right" vertical="center" wrapText="1"/>
    </xf>
    <xf numFmtId="3" fontId="69" fillId="8" borderId="36" xfId="0" applyNumberFormat="1" applyFont="1" applyFill="1" applyBorder="1" applyAlignment="1">
      <alignment horizontal="right" vertical="center" wrapText="1"/>
    </xf>
    <xf numFmtId="3" fontId="69" fillId="9" borderId="46" xfId="0" applyNumberFormat="1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vertical="center"/>
    </xf>
    <xf numFmtId="43" fontId="8" fillId="3" borderId="21" xfId="1" applyFont="1" applyFill="1" applyBorder="1" applyAlignment="1">
      <alignment vertical="center" wrapText="1"/>
    </xf>
    <xf numFmtId="3" fontId="64" fillId="6" borderId="34" xfId="0" applyNumberFormat="1" applyFont="1" applyFill="1" applyBorder="1" applyAlignment="1">
      <alignment vertical="center" wrapText="1"/>
    </xf>
    <xf numFmtId="43" fontId="8" fillId="2" borderId="9" xfId="1" applyFont="1" applyFill="1" applyBorder="1" applyAlignment="1">
      <alignment vertical="center" wrapText="1"/>
    </xf>
    <xf numFmtId="43" fontId="69" fillId="8" borderId="29" xfId="1" applyFont="1" applyFill="1" applyBorder="1" applyAlignment="1">
      <alignment vertical="center" wrapText="1"/>
    </xf>
    <xf numFmtId="43" fontId="69" fillId="8" borderId="30" xfId="1" applyFont="1" applyFill="1" applyBorder="1" applyAlignment="1">
      <alignment vertical="center" wrapText="1"/>
    </xf>
    <xf numFmtId="3" fontId="69" fillId="8" borderId="36" xfId="0" applyNumberFormat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43" fontId="8" fillId="0" borderId="47" xfId="1" applyFont="1" applyFill="1" applyBorder="1" applyAlignment="1">
      <alignment vertical="center" wrapText="1"/>
    </xf>
    <xf numFmtId="3" fontId="8" fillId="0" borderId="47" xfId="0" applyNumberFormat="1" applyFont="1" applyFill="1" applyBorder="1" applyAlignment="1">
      <alignment vertical="center" wrapText="1"/>
    </xf>
    <xf numFmtId="3" fontId="8" fillId="0" borderId="133" xfId="0" applyNumberFormat="1" applyFont="1" applyFill="1" applyBorder="1" applyAlignment="1">
      <alignment vertical="center" wrapText="1"/>
    </xf>
    <xf numFmtId="0" fontId="73" fillId="4" borderId="38" xfId="0" applyFont="1" applyFill="1" applyBorder="1" applyAlignment="1">
      <alignment vertical="center"/>
    </xf>
    <xf numFmtId="3" fontId="64" fillId="4" borderId="39" xfId="0" applyNumberFormat="1" applyFont="1" applyFill="1" applyBorder="1" applyAlignment="1">
      <alignment vertical="center" wrapText="1"/>
    </xf>
    <xf numFmtId="3" fontId="64" fillId="4" borderId="50" xfId="0" applyNumberFormat="1" applyFont="1" applyFill="1" applyBorder="1" applyAlignment="1">
      <alignment vertical="center" wrapText="1"/>
    </xf>
    <xf numFmtId="3" fontId="64" fillId="4" borderId="51" xfId="0" applyNumberFormat="1" applyFont="1" applyFill="1" applyBorder="1" applyAlignment="1">
      <alignment vertical="center" wrapText="1"/>
    </xf>
    <xf numFmtId="3" fontId="64" fillId="4" borderId="52" xfId="0" applyNumberFormat="1" applyFont="1" applyFill="1" applyBorder="1" applyAlignment="1">
      <alignment vertical="center" wrapText="1"/>
    </xf>
    <xf numFmtId="3" fontId="64" fillId="4" borderId="12" xfId="0" applyNumberFormat="1" applyFont="1" applyFill="1" applyBorder="1" applyAlignment="1">
      <alignment vertical="center" wrapText="1"/>
    </xf>
    <xf numFmtId="3" fontId="64" fillId="4" borderId="23" xfId="0" applyNumberFormat="1" applyFont="1" applyFill="1" applyBorder="1" applyAlignment="1">
      <alignment vertical="center" wrapText="1"/>
    </xf>
    <xf numFmtId="3" fontId="64" fillId="4" borderId="25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3" fontId="64" fillId="2" borderId="0" xfId="0" applyNumberFormat="1" applyFont="1" applyFill="1" applyBorder="1" applyAlignment="1">
      <alignment vertical="center" wrapText="1"/>
    </xf>
    <xf numFmtId="3" fontId="77" fillId="2" borderId="0" xfId="0" applyNumberFormat="1" applyFont="1" applyFill="1" applyAlignment="1">
      <alignment vertical="center"/>
    </xf>
    <xf numFmtId="0" fontId="77" fillId="2" borderId="0" xfId="0" applyFont="1" applyFill="1" applyBorder="1" applyAlignment="1">
      <alignment vertical="center"/>
    </xf>
    <xf numFmtId="0" fontId="71" fillId="13" borderId="53" xfId="4" applyFont="1" applyFill="1" applyBorder="1" applyAlignment="1">
      <alignment horizontal="left" vertical="center"/>
    </xf>
    <xf numFmtId="3" fontId="64" fillId="13" borderId="54" xfId="0" applyNumberFormat="1" applyFont="1" applyFill="1" applyBorder="1" applyAlignment="1">
      <alignment vertical="center" wrapText="1"/>
    </xf>
    <xf numFmtId="3" fontId="64" fillId="13" borderId="55" xfId="0" applyNumberFormat="1" applyFont="1" applyFill="1" applyBorder="1" applyAlignment="1">
      <alignment vertical="center" wrapText="1"/>
    </xf>
    <xf numFmtId="3" fontId="64" fillId="13" borderId="56" xfId="0" applyNumberFormat="1" applyFont="1" applyFill="1" applyBorder="1" applyAlignment="1">
      <alignment vertical="center" wrapText="1"/>
    </xf>
    <xf numFmtId="0" fontId="62" fillId="13" borderId="20" xfId="0" applyFont="1" applyFill="1" applyBorder="1" applyAlignment="1">
      <alignment vertical="center"/>
    </xf>
    <xf numFmtId="3" fontId="78" fillId="13" borderId="35" xfId="0" applyNumberFormat="1" applyFont="1" applyFill="1" applyBorder="1" applyAlignment="1">
      <alignment vertical="center" wrapText="1"/>
    </xf>
    <xf numFmtId="3" fontId="78" fillId="13" borderId="7" xfId="0" applyNumberFormat="1" applyFont="1" applyFill="1" applyBorder="1" applyAlignment="1">
      <alignment vertical="center" wrapText="1"/>
    </xf>
    <xf numFmtId="3" fontId="78" fillId="13" borderId="21" xfId="0" applyNumberFormat="1" applyFont="1" applyFill="1" applyBorder="1" applyAlignment="1">
      <alignment vertical="center" wrapText="1"/>
    </xf>
    <xf numFmtId="0" fontId="71" fillId="13" borderId="57" xfId="4" applyFont="1" applyFill="1" applyBorder="1" applyAlignment="1">
      <alignment horizontal="left" vertical="center"/>
    </xf>
    <xf numFmtId="3" fontId="64" fillId="13" borderId="58" xfId="0" applyNumberFormat="1" applyFont="1" applyFill="1" applyBorder="1" applyAlignment="1">
      <alignment vertical="center" wrapText="1"/>
    </xf>
    <xf numFmtId="3" fontId="64" fillId="13" borderId="59" xfId="0" applyNumberFormat="1" applyFont="1" applyFill="1" applyBorder="1" applyAlignment="1">
      <alignment horizontal="center" vertical="center" wrapText="1"/>
    </xf>
    <xf numFmtId="3" fontId="64" fillId="13" borderId="60" xfId="0" applyNumberFormat="1" applyFont="1" applyFill="1" applyBorder="1" applyAlignment="1">
      <alignment horizontal="center" vertical="center" wrapText="1"/>
    </xf>
    <xf numFmtId="3" fontId="77" fillId="2" borderId="0" xfId="0" applyNumberFormat="1" applyFont="1" applyFill="1" applyBorder="1" applyAlignment="1">
      <alignment vertical="center"/>
    </xf>
    <xf numFmtId="0" fontId="62" fillId="13" borderId="37" xfId="0" applyFont="1" applyFill="1" applyBorder="1" applyAlignment="1">
      <alignment vertical="center"/>
    </xf>
    <xf numFmtId="3" fontId="78" fillId="13" borderId="47" xfId="0" applyNumberFormat="1" applyFont="1" applyFill="1" applyBorder="1" applyAlignment="1">
      <alignment vertical="center" wrapText="1"/>
    </xf>
    <xf numFmtId="3" fontId="64" fillId="13" borderId="77" xfId="0" applyNumberFormat="1" applyFont="1" applyFill="1" applyBorder="1" applyAlignment="1">
      <alignment horizontal="center" vertical="center" wrapText="1"/>
    </xf>
    <xf numFmtId="0" fontId="79" fillId="13" borderId="0" xfId="4" applyFont="1" applyFill="1" applyBorder="1" applyAlignment="1">
      <alignment horizontal="center" vertical="center"/>
    </xf>
    <xf numFmtId="3" fontId="64" fillId="13" borderId="0" xfId="0" applyNumberFormat="1" applyFont="1" applyFill="1" applyBorder="1" applyAlignment="1">
      <alignment vertical="center" wrapText="1"/>
    </xf>
    <xf numFmtId="0" fontId="71" fillId="13" borderId="0" xfId="4" applyFont="1" applyFill="1" applyBorder="1" applyAlignment="1">
      <alignment horizontal="left" vertical="center"/>
    </xf>
    <xf numFmtId="0" fontId="71" fillId="0" borderId="0" xfId="4" applyFont="1" applyFill="1" applyBorder="1" applyAlignment="1">
      <alignment horizontal="left" vertical="center"/>
    </xf>
    <xf numFmtId="3" fontId="64" fillId="0" borderId="0" xfId="0" applyNumberFormat="1" applyFont="1" applyFill="1" applyBorder="1" applyAlignment="1">
      <alignment vertical="center" wrapText="1"/>
    </xf>
    <xf numFmtId="0" fontId="71" fillId="0" borderId="53" xfId="4" applyFont="1" applyFill="1" applyBorder="1" applyAlignment="1">
      <alignment horizontal="left" vertical="center"/>
    </xf>
    <xf numFmtId="3" fontId="64" fillId="0" borderId="54" xfId="0" applyNumberFormat="1" applyFont="1" applyFill="1" applyBorder="1" applyAlignment="1">
      <alignment vertical="center" wrapText="1"/>
    </xf>
    <xf numFmtId="3" fontId="64" fillId="0" borderId="55" xfId="0" applyNumberFormat="1" applyFont="1" applyFill="1" applyBorder="1" applyAlignment="1">
      <alignment vertical="center" wrapText="1"/>
    </xf>
    <xf numFmtId="0" fontId="41" fillId="0" borderId="20" xfId="0" applyFont="1" applyFill="1" applyBorder="1" applyAlignment="1">
      <alignment vertical="center"/>
    </xf>
    <xf numFmtId="3" fontId="80" fillId="0" borderId="35" xfId="0" applyNumberFormat="1" applyFont="1" applyFill="1" applyBorder="1" applyAlignment="1">
      <alignment vertical="center" wrapText="1"/>
    </xf>
    <xf numFmtId="3" fontId="78" fillId="0" borderId="7" xfId="0" applyNumberFormat="1" applyFont="1" applyFill="1" applyBorder="1" applyAlignment="1">
      <alignment vertical="center" wrapText="1"/>
    </xf>
    <xf numFmtId="0" fontId="71" fillId="13" borderId="61" xfId="4" applyFont="1" applyFill="1" applyBorder="1" applyAlignment="1">
      <alignment horizontal="left" vertical="center"/>
    </xf>
    <xf numFmtId="3" fontId="64" fillId="13" borderId="61" xfId="0" applyNumberFormat="1" applyFont="1" applyFill="1" applyBorder="1" applyAlignment="1">
      <alignment vertical="center" wrapText="1"/>
    </xf>
    <xf numFmtId="0" fontId="69" fillId="0" borderId="71" xfId="0" applyFont="1" applyBorder="1" applyAlignment="1">
      <alignment horizontal="center" vertical="center"/>
    </xf>
    <xf numFmtId="0" fontId="69" fillId="0" borderId="136" xfId="0" applyFont="1" applyBorder="1" applyAlignment="1">
      <alignment horizontal="center" vertical="center"/>
    </xf>
    <xf numFmtId="0" fontId="69" fillId="0" borderId="63" xfId="0" applyFont="1" applyBorder="1" applyAlignment="1">
      <alignment horizontal="center" vertical="center"/>
    </xf>
    <xf numFmtId="0" fontId="69" fillId="0" borderId="63" xfId="0" applyFont="1" applyBorder="1" applyAlignment="1">
      <alignment horizontal="center"/>
    </xf>
    <xf numFmtId="3" fontId="64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6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9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77" fillId="0" borderId="0" xfId="0" applyNumberFormat="1" applyFont="1" applyFill="1" applyBorder="1" applyAlignment="1">
      <alignment vertical="center" wrapText="1"/>
    </xf>
    <xf numFmtId="3" fontId="77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3" fontId="6" fillId="6" borderId="70" xfId="0" applyNumberFormat="1" applyFont="1" applyFill="1" applyBorder="1"/>
    <xf numFmtId="0" fontId="7" fillId="6" borderId="37" xfId="0" applyFont="1" applyFill="1" applyBorder="1" applyAlignment="1">
      <alignment vertical="center" wrapText="1"/>
    </xf>
    <xf numFmtId="3" fontId="6" fillId="6" borderId="148" xfId="0" applyNumberFormat="1" applyFont="1" applyFill="1" applyBorder="1"/>
    <xf numFmtId="3" fontId="36" fillId="12" borderId="0" xfId="0" applyNumberFormat="1" applyFont="1" applyFill="1" applyBorder="1" applyAlignment="1">
      <alignment horizontal="right" vertical="center"/>
    </xf>
    <xf numFmtId="3" fontId="81" fillId="12" borderId="0" xfId="0" applyNumberFormat="1" applyFont="1" applyFill="1" applyBorder="1" applyAlignment="1">
      <alignment vertical="center"/>
    </xf>
    <xf numFmtId="3" fontId="81" fillId="12" borderId="13" xfId="0" applyNumberFormat="1" applyFont="1" applyFill="1" applyBorder="1" applyAlignment="1">
      <alignment vertical="center"/>
    </xf>
    <xf numFmtId="0" fontId="36" fillId="8" borderId="0" xfId="0" applyFont="1" applyFill="1" applyBorder="1" applyAlignment="1">
      <alignment horizontal="right"/>
    </xf>
    <xf numFmtId="3" fontId="81" fillId="8" borderId="0" xfId="0" applyNumberFormat="1" applyFont="1" applyFill="1" applyBorder="1"/>
    <xf numFmtId="0" fontId="36" fillId="15" borderId="51" xfId="0" applyFont="1" applyFill="1" applyBorder="1" applyAlignment="1">
      <alignment horizontal="center" wrapText="1"/>
    </xf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70" xfId="0" applyNumberFormat="1" applyFont="1" applyFill="1" applyBorder="1"/>
    <xf numFmtId="3" fontId="36" fillId="6" borderId="35" xfId="0" applyNumberFormat="1" applyFont="1" applyFill="1" applyBorder="1"/>
    <xf numFmtId="0" fontId="7" fillId="6" borderId="73" xfId="0" applyFont="1" applyFill="1" applyBorder="1" applyAlignment="1">
      <alignment vertical="center" wrapText="1"/>
    </xf>
    <xf numFmtId="3" fontId="8" fillId="6" borderId="47" xfId="0" applyNumberFormat="1" applyFont="1" applyFill="1" applyBorder="1"/>
    <xf numFmtId="3" fontId="8" fillId="6" borderId="72" xfId="0" applyNumberFormat="1" applyFont="1" applyFill="1" applyBorder="1"/>
    <xf numFmtId="3" fontId="8" fillId="6" borderId="148" xfId="0" applyNumberFormat="1" applyFont="1" applyFill="1" applyBorder="1"/>
    <xf numFmtId="3" fontId="36" fillId="6" borderId="12" xfId="0" applyNumberFormat="1" applyFont="1" applyFill="1" applyBorder="1"/>
    <xf numFmtId="3" fontId="8" fillId="12" borderId="0" xfId="0" applyNumberFormat="1" applyFont="1" applyFill="1" applyBorder="1" applyAlignment="1">
      <alignment horizontal="right"/>
    </xf>
    <xf numFmtId="3" fontId="81" fillId="12" borderId="0" xfId="0" applyNumberFormat="1" applyFont="1" applyFill="1" applyBorder="1"/>
    <xf numFmtId="0" fontId="8" fillId="12" borderId="8" xfId="0" applyFont="1" applyFill="1" applyBorder="1" applyAlignment="1">
      <alignment horizontal="right"/>
    </xf>
    <xf numFmtId="3" fontId="81" fillId="12" borderId="8" xfId="0" applyNumberFormat="1" applyFont="1" applyFill="1" applyBorder="1"/>
    <xf numFmtId="0" fontId="69" fillId="0" borderId="0" xfId="0" applyFont="1" applyBorder="1" applyAlignment="1">
      <alignment horizontal="center" vertical="center"/>
    </xf>
    <xf numFmtId="0" fontId="69" fillId="0" borderId="131" xfId="0" applyFont="1" applyBorder="1" applyAlignment="1">
      <alignment horizont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30" xfId="0" applyNumberFormat="1" applyFont="1" applyFill="1" applyBorder="1"/>
    <xf numFmtId="3" fontId="8" fillId="8" borderId="71" xfId="0" applyNumberFormat="1" applyFont="1" applyFill="1" applyBorder="1"/>
    <xf numFmtId="3" fontId="8" fillId="8" borderId="31" xfId="0" applyNumberFormat="1" applyFont="1" applyFill="1" applyBorder="1"/>
    <xf numFmtId="3" fontId="8" fillId="8" borderId="139" xfId="0" applyNumberFormat="1" applyFont="1" applyFill="1" applyBorder="1"/>
    <xf numFmtId="0" fontId="7" fillId="8" borderId="28" xfId="0" applyFont="1" applyFill="1" applyBorder="1" applyAlignment="1">
      <alignment vertical="center"/>
    </xf>
    <xf numFmtId="0" fontId="7" fillId="8" borderId="73" xfId="0" applyFont="1" applyFill="1" applyBorder="1" applyAlignment="1">
      <alignment vertical="center"/>
    </xf>
    <xf numFmtId="3" fontId="8" fillId="8" borderId="63" xfId="0" applyNumberFormat="1" applyFont="1" applyFill="1" applyBorder="1"/>
    <xf numFmtId="3" fontId="8" fillId="8" borderId="136" xfId="0" applyNumberFormat="1" applyFont="1" applyFill="1" applyBorder="1"/>
    <xf numFmtId="3" fontId="8" fillId="8" borderId="47" xfId="0" applyNumberFormat="1" applyFont="1" applyFill="1" applyBorder="1"/>
    <xf numFmtId="3" fontId="8" fillId="8" borderId="75" xfId="0" applyNumberFormat="1" applyFont="1" applyFill="1" applyBorder="1"/>
    <xf numFmtId="3" fontId="8" fillId="8" borderId="149" xfId="0" applyNumberFormat="1" applyFont="1" applyFill="1" applyBorder="1"/>
    <xf numFmtId="3" fontId="8" fillId="8" borderId="148" xfId="0" applyNumberFormat="1" applyFont="1" applyFill="1" applyBorder="1"/>
    <xf numFmtId="0" fontId="7" fillId="17" borderId="0" xfId="0" applyFont="1" applyFill="1" applyBorder="1" applyAlignment="1">
      <alignment vertical="center" wrapText="1"/>
    </xf>
    <xf numFmtId="3" fontId="82" fillId="17" borderId="0" xfId="0" applyNumberFormat="1" applyFont="1" applyFill="1" applyBorder="1"/>
    <xf numFmtId="3" fontId="82" fillId="17" borderId="13" xfId="0" applyNumberFormat="1" applyFont="1" applyFill="1" applyBorder="1"/>
    <xf numFmtId="0" fontId="28" fillId="8" borderId="0" xfId="0" applyFont="1" applyFill="1" applyBorder="1" applyAlignment="1">
      <alignment horizontal="right" vertical="center" wrapText="1"/>
    </xf>
    <xf numFmtId="3" fontId="82" fillId="8" borderId="0" xfId="0" applyNumberFormat="1" applyFont="1" applyFill="1" applyBorder="1"/>
    <xf numFmtId="3" fontId="82" fillId="8" borderId="13" xfId="0" applyNumberFormat="1" applyFont="1" applyFill="1" applyBorder="1"/>
    <xf numFmtId="3" fontId="19" fillId="8" borderId="0" xfId="0" applyNumberFormat="1" applyFont="1" applyFill="1" applyBorder="1"/>
    <xf numFmtId="0" fontId="36" fillId="16" borderId="51" xfId="0" applyFont="1" applyFill="1" applyBorder="1" applyAlignment="1">
      <alignment horizontal="center" wrapText="1"/>
    </xf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70" xfId="0" applyNumberFormat="1" applyFont="1" applyFill="1" applyBorder="1"/>
    <xf numFmtId="3" fontId="8" fillId="8" borderId="17" xfId="0" applyNumberFormat="1" applyFont="1" applyFill="1" applyBorder="1"/>
    <xf numFmtId="3" fontId="8" fillId="8" borderId="35" xfId="0" applyNumberFormat="1" applyFont="1" applyFill="1" applyBorder="1"/>
    <xf numFmtId="3" fontId="8" fillId="8" borderId="0" xfId="0" applyNumberFormat="1" applyFont="1" applyFill="1" applyBorder="1"/>
    <xf numFmtId="3" fontId="8" fillId="8" borderId="30" xfId="0" applyNumberFormat="1" applyFont="1" applyFill="1" applyBorder="1" applyAlignment="1">
      <alignment vertical="center"/>
    </xf>
    <xf numFmtId="3" fontId="8" fillId="8" borderId="139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0" fontId="7" fillId="8" borderId="73" xfId="0" applyFont="1" applyFill="1" applyBorder="1" applyAlignment="1">
      <alignment vertical="center" wrapText="1"/>
    </xf>
    <xf numFmtId="0" fontId="8" fillId="17" borderId="0" xfId="0" applyFont="1" applyFill="1" applyBorder="1" applyAlignment="1">
      <alignment horizontal="right"/>
    </xf>
    <xf numFmtId="3" fontId="69" fillId="17" borderId="0" xfId="0" applyNumberFormat="1" applyFont="1" applyFill="1" applyBorder="1"/>
    <xf numFmtId="3" fontId="69" fillId="17" borderId="13" xfId="0" applyNumberFormat="1" applyFont="1" applyFill="1" applyBorder="1"/>
    <xf numFmtId="3" fontId="8" fillId="17" borderId="0" xfId="0" applyNumberFormat="1" applyFont="1" applyFill="1" applyBorder="1"/>
    <xf numFmtId="0" fontId="36" fillId="0" borderId="27" xfId="0" applyFont="1" applyBorder="1" applyAlignment="1">
      <alignment horizontal="center" vertical="center"/>
    </xf>
    <xf numFmtId="0" fontId="36" fillId="18" borderId="3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0" fontId="36" fillId="18" borderId="24" xfId="0" applyFont="1" applyFill="1" applyBorder="1" applyAlignment="1">
      <alignment horizontal="center" vertical="center"/>
    </xf>
    <xf numFmtId="3" fontId="36" fillId="18" borderId="12" xfId="0" applyNumberFormat="1" applyFont="1" applyFill="1" applyBorder="1" applyAlignment="1">
      <alignment vertical="center"/>
    </xf>
    <xf numFmtId="3" fontId="36" fillId="18" borderId="23" xfId="0" applyNumberFormat="1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0" fontId="7" fillId="11" borderId="20" xfId="0" applyFont="1" applyFill="1" applyBorder="1" applyAlignment="1">
      <alignment vertical="center" wrapText="1"/>
    </xf>
    <xf numFmtId="3" fontId="6" fillId="11" borderId="70" xfId="0" applyNumberFormat="1" applyFont="1" applyFill="1" applyBorder="1"/>
    <xf numFmtId="3" fontId="6" fillId="11" borderId="17" xfId="0" applyNumberFormat="1" applyFont="1" applyFill="1" applyBorder="1"/>
    <xf numFmtId="3" fontId="6" fillId="11" borderId="30" xfId="0" applyNumberFormat="1" applyFont="1" applyFill="1" applyBorder="1"/>
    <xf numFmtId="3" fontId="6" fillId="11" borderId="0" xfId="0" applyNumberFormat="1" applyFont="1" applyFill="1" applyBorder="1"/>
    <xf numFmtId="0" fontId="7" fillId="11" borderId="28" xfId="0" applyFont="1" applyFill="1" applyBorder="1" applyAlignment="1">
      <alignment vertical="center" wrapText="1"/>
    </xf>
    <xf numFmtId="3" fontId="6" fillId="11" borderId="139" xfId="0" applyNumberFormat="1" applyFont="1" applyFill="1" applyBorder="1"/>
    <xf numFmtId="0" fontId="7" fillId="11" borderId="73" xfId="0" applyFont="1" applyFill="1" applyBorder="1" applyAlignment="1">
      <alignment vertical="center" wrapText="1"/>
    </xf>
    <xf numFmtId="0" fontId="7" fillId="11" borderId="37" xfId="0" applyFont="1" applyFill="1" applyBorder="1" applyAlignment="1">
      <alignment vertical="center" wrapText="1"/>
    </xf>
    <xf numFmtId="3" fontId="6" fillId="11" borderId="47" xfId="0" applyNumberFormat="1" applyFont="1" applyFill="1" applyBorder="1"/>
    <xf numFmtId="3" fontId="6" fillId="11" borderId="148" xfId="0" applyNumberFormat="1" applyFont="1" applyFill="1" applyBorder="1"/>
    <xf numFmtId="0" fontId="36" fillId="18" borderId="51" xfId="0" applyFont="1" applyFill="1" applyBorder="1" applyAlignment="1">
      <alignment horizontal="right"/>
    </xf>
    <xf numFmtId="3" fontId="81" fillId="18" borderId="39" xfId="0" applyNumberFormat="1" applyFont="1" applyFill="1" applyBorder="1" applyAlignment="1">
      <alignment vertical="top"/>
    </xf>
    <xf numFmtId="3" fontId="81" fillId="18" borderId="50" xfId="0" applyNumberFormat="1" applyFont="1" applyFill="1" applyBorder="1" applyAlignment="1">
      <alignment vertical="top"/>
    </xf>
    <xf numFmtId="3" fontId="81" fillId="18" borderId="0" xfId="0" applyNumberFormat="1" applyFont="1" applyFill="1" applyBorder="1" applyAlignment="1">
      <alignment vertical="top"/>
    </xf>
    <xf numFmtId="0" fontId="81" fillId="0" borderId="0" xfId="0" applyFont="1" applyBorder="1" applyAlignment="1">
      <alignment horizontal="right"/>
    </xf>
    <xf numFmtId="3" fontId="81" fillId="2" borderId="0" xfId="0" applyNumberFormat="1" applyFont="1" applyFill="1" applyBorder="1" applyAlignment="1">
      <alignment vertical="top"/>
    </xf>
    <xf numFmtId="3" fontId="81" fillId="2" borderId="13" xfId="0" applyNumberFormat="1" applyFont="1" applyFill="1" applyBorder="1" applyAlignment="1">
      <alignment vertical="top"/>
    </xf>
    <xf numFmtId="0" fontId="36" fillId="18" borderId="51" xfId="0" applyFont="1" applyFill="1" applyBorder="1" applyAlignment="1">
      <alignment horizontal="center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3" fontId="8" fillId="11" borderId="70" xfId="0" applyNumberFormat="1" applyFont="1" applyFill="1" applyBorder="1"/>
    <xf numFmtId="43" fontId="8" fillId="11" borderId="0" xfId="1" applyFont="1" applyFill="1" applyBorder="1"/>
    <xf numFmtId="3" fontId="8" fillId="11" borderId="30" xfId="0" applyNumberFormat="1" applyFont="1" applyFill="1" applyBorder="1"/>
    <xf numFmtId="3" fontId="6" fillId="11" borderId="30" xfId="0" applyNumberFormat="1" applyFont="1" applyFill="1" applyBorder="1" applyAlignment="1">
      <alignment vertical="center"/>
    </xf>
    <xf numFmtId="3" fontId="6" fillId="11" borderId="139" xfId="0" applyNumberFormat="1" applyFont="1" applyFill="1" applyBorder="1" applyAlignment="1">
      <alignment vertical="center"/>
    </xf>
    <xf numFmtId="43" fontId="8" fillId="11" borderId="0" xfId="1" applyFont="1" applyFill="1" applyBorder="1" applyAlignment="1">
      <alignment vertical="center"/>
    </xf>
    <xf numFmtId="0" fontId="8" fillId="18" borderId="24" xfId="0" applyFont="1" applyFill="1" applyBorder="1" applyAlignment="1">
      <alignment horizontal="right"/>
    </xf>
    <xf numFmtId="3" fontId="8" fillId="18" borderId="24" xfId="0" applyNumberFormat="1" applyFont="1" applyFill="1" applyBorder="1"/>
    <xf numFmtId="3" fontId="8" fillId="18" borderId="12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81" fillId="0" borderId="0" xfId="0" applyNumberFormat="1" applyFont="1" applyBorder="1"/>
    <xf numFmtId="3" fontId="81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81" xfId="4" applyNumberFormat="1" applyFont="1" applyFill="1" applyBorder="1" applyAlignment="1">
      <alignment vertical="center" wrapText="1"/>
    </xf>
    <xf numFmtId="0" fontId="7" fillId="0" borderId="181" xfId="4" applyFont="1" applyFill="1" applyBorder="1" applyAlignment="1">
      <alignment vertical="center"/>
    </xf>
    <xf numFmtId="43" fontId="31" fillId="25" borderId="172" xfId="1" applyFont="1" applyFill="1" applyBorder="1" applyAlignment="1">
      <alignment horizontal="right" vertical="center"/>
    </xf>
    <xf numFmtId="0" fontId="29" fillId="2" borderId="181" xfId="4" applyFont="1" applyFill="1" applyBorder="1" applyAlignment="1">
      <alignment vertical="center"/>
    </xf>
    <xf numFmtId="0" fontId="7" fillId="0" borderId="178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7" fillId="0" borderId="131" xfId="1" applyFont="1" applyFill="1" applyBorder="1" applyAlignment="1">
      <alignment vertical="top"/>
    </xf>
    <xf numFmtId="43" fontId="7" fillId="0" borderId="148" xfId="1" applyFont="1" applyFill="1" applyBorder="1" applyAlignment="1">
      <alignment vertical="top"/>
    </xf>
    <xf numFmtId="3" fontId="24" fillId="8" borderId="172" xfId="4" applyNumberFormat="1" applyFont="1" applyFill="1" applyBorder="1" applyAlignment="1">
      <alignment horizontal="center" vertical="center"/>
    </xf>
    <xf numFmtId="3" fontId="7" fillId="23" borderId="175" xfId="4" applyNumberFormat="1" applyFont="1" applyFill="1" applyBorder="1" applyAlignment="1">
      <alignment horizontal="right" vertical="center"/>
    </xf>
    <xf numFmtId="3" fontId="17" fillId="6" borderId="176" xfId="4" applyNumberFormat="1" applyFont="1" applyFill="1" applyBorder="1" applyAlignment="1">
      <alignment vertical="center"/>
    </xf>
    <xf numFmtId="0" fontId="7" fillId="32" borderId="135" xfId="4" applyFont="1" applyFill="1" applyBorder="1" applyAlignment="1">
      <alignment vertical="top"/>
    </xf>
    <xf numFmtId="43" fontId="27" fillId="55" borderId="9" xfId="1" applyFont="1" applyFill="1" applyBorder="1" applyAlignment="1">
      <alignment horizontal="right" vertical="center"/>
    </xf>
    <xf numFmtId="0" fontId="27" fillId="55" borderId="135" xfId="4" applyFont="1" applyFill="1" applyBorder="1" applyAlignment="1">
      <alignment horizontal="left" vertical="center"/>
    </xf>
    <xf numFmtId="0" fontId="27" fillId="55" borderId="176" xfId="4" applyFont="1" applyFill="1" applyBorder="1" applyAlignment="1">
      <alignment horizontal="left" vertical="center"/>
    </xf>
    <xf numFmtId="0" fontId="27" fillId="55" borderId="135" xfId="0" applyFont="1" applyFill="1" applyBorder="1" applyAlignment="1">
      <alignment horizontal="left" vertical="top"/>
    </xf>
    <xf numFmtId="0" fontId="28" fillId="55" borderId="176" xfId="0" quotePrefix="1" applyFont="1" applyFill="1" applyBorder="1" applyAlignment="1">
      <alignment horizontal="center" vertical="top"/>
    </xf>
    <xf numFmtId="0" fontId="7" fillId="8" borderId="135" xfId="4" applyFont="1" applyFill="1" applyBorder="1" applyAlignment="1">
      <alignment vertical="center"/>
    </xf>
    <xf numFmtId="0" fontId="24" fillId="8" borderId="19" xfId="4" applyFont="1" applyFill="1" applyBorder="1" applyAlignment="1">
      <alignment horizontal="left" vertical="center" wrapText="1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9" xfId="4" applyNumberFormat="1" applyFont="1" applyFill="1" applyBorder="1" applyAlignment="1">
      <alignment horizontal="right" vertical="center"/>
    </xf>
    <xf numFmtId="3" fontId="7" fillId="23" borderId="70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0" fontId="0" fillId="0" borderId="22" xfId="0" applyFont="1" applyBorder="1" applyAlignment="1"/>
    <xf numFmtId="43" fontId="7" fillId="0" borderId="12" xfId="1" applyFont="1" applyFill="1" applyBorder="1" applyAlignment="1">
      <alignment vertical="top"/>
    </xf>
    <xf numFmtId="3" fontId="7" fillId="0" borderId="12" xfId="4" applyNumberFormat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49" xfId="1" applyFont="1" applyFill="1" applyBorder="1" applyAlignment="1">
      <alignment vertical="top"/>
    </xf>
    <xf numFmtId="3" fontId="7" fillId="0" borderId="149" xfId="4" applyNumberFormat="1" applyFont="1" applyFill="1" applyBorder="1" applyAlignment="1">
      <alignment vertical="top"/>
    </xf>
    <xf numFmtId="3" fontId="7" fillId="25" borderId="131" xfId="4" applyNumberFormat="1" applyFont="1" applyFill="1" applyBorder="1" applyAlignment="1">
      <alignment vertical="top"/>
    </xf>
    <xf numFmtId="3" fontId="27" fillId="0" borderId="182" xfId="4" applyNumberFormat="1" applyFont="1" applyFill="1" applyBorder="1" applyAlignment="1">
      <alignment horizontal="right" vertical="center"/>
    </xf>
    <xf numFmtId="3" fontId="27" fillId="0" borderId="173" xfId="4" applyNumberFormat="1" applyFont="1" applyFill="1" applyBorder="1" applyAlignment="1">
      <alignment horizontal="right" vertical="center"/>
    </xf>
    <xf numFmtId="3" fontId="29" fillId="0" borderId="173" xfId="4" applyNumberFormat="1" applyFont="1" applyFill="1" applyBorder="1" applyAlignment="1">
      <alignment horizontal="right" vertical="center"/>
    </xf>
    <xf numFmtId="3" fontId="31" fillId="23" borderId="171" xfId="4" applyNumberFormat="1" applyFont="1" applyFill="1" applyBorder="1" applyAlignment="1">
      <alignment vertical="center"/>
    </xf>
    <xf numFmtId="0" fontId="31" fillId="8" borderId="36" xfId="4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41" fillId="59" borderId="178" xfId="0" applyFont="1" applyFill="1" applyBorder="1"/>
    <xf numFmtId="0" fontId="28" fillId="59" borderId="141" xfId="0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horizontal="right" vertical="center"/>
    </xf>
    <xf numFmtId="3" fontId="28" fillId="58" borderId="172" xfId="0" applyNumberFormat="1" applyFont="1" applyFill="1" applyBorder="1" applyAlignment="1">
      <alignment vertical="top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13" borderId="36" xfId="4" applyFont="1" applyFill="1" applyBorder="1" applyAlignment="1">
      <alignment vertical="center" wrapText="1"/>
    </xf>
    <xf numFmtId="3" fontId="32" fillId="0" borderId="20" xfId="0" applyNumberFormat="1" applyFont="1" applyBorder="1" applyAlignment="1">
      <alignment horizontal="center" vertical="center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2" xfId="0" applyNumberFormat="1" applyFont="1" applyFill="1" applyBorder="1" applyAlignment="1">
      <alignment horizontal="right" vertical="center"/>
    </xf>
    <xf numFmtId="3" fontId="7" fillId="0" borderId="65" xfId="0" applyNumberFormat="1" applyFont="1" applyFill="1" applyBorder="1" applyAlignment="1">
      <alignment horizontal="right" vertical="center"/>
    </xf>
    <xf numFmtId="0" fontId="32" fillId="0" borderId="131" xfId="0" applyFont="1" applyBorder="1"/>
    <xf numFmtId="43" fontId="27" fillId="2" borderId="172" xfId="1" applyFont="1" applyFill="1" applyBorder="1" applyAlignment="1">
      <alignment vertical="top"/>
    </xf>
    <xf numFmtId="43" fontId="31" fillId="0" borderId="9" xfId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43" fontId="31" fillId="0" borderId="131" xfId="1" applyFont="1" applyFill="1" applyBorder="1" applyAlignment="1">
      <alignment horizontal="right" vertical="center"/>
    </xf>
    <xf numFmtId="3" fontId="28" fillId="56" borderId="35" xfId="0" applyNumberFormat="1" applyFont="1" applyFill="1" applyBorder="1" applyAlignment="1">
      <alignment vertical="center"/>
    </xf>
    <xf numFmtId="3" fontId="31" fillId="55" borderId="9" xfId="0" applyNumberFormat="1" applyFont="1" applyFill="1" applyBorder="1" applyAlignment="1">
      <alignment vertical="top"/>
    </xf>
    <xf numFmtId="3" fontId="31" fillId="55" borderId="35" xfId="0" applyNumberFormat="1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vertical="top"/>
    </xf>
    <xf numFmtId="3" fontId="28" fillId="61" borderId="35" xfId="0" applyNumberFormat="1" applyFont="1" applyFill="1" applyBorder="1" applyAlignment="1">
      <alignment vertical="center"/>
    </xf>
    <xf numFmtId="3" fontId="28" fillId="56" borderId="9" xfId="0" applyNumberFormat="1" applyFont="1" applyFill="1" applyBorder="1" applyAlignment="1">
      <alignment horizontal="right" vertical="center"/>
    </xf>
    <xf numFmtId="3" fontId="28" fillId="59" borderId="172" xfId="0" applyNumberFormat="1" applyFont="1" applyFill="1" applyBorder="1" applyAlignment="1">
      <alignment vertical="top"/>
    </xf>
    <xf numFmtId="3" fontId="28" fillId="59" borderId="9" xfId="0" applyNumberFormat="1" applyFont="1" applyFill="1" applyBorder="1" applyAlignment="1">
      <alignment vertical="top"/>
    </xf>
    <xf numFmtId="3" fontId="28" fillId="55" borderId="9" xfId="0" applyNumberFormat="1" applyFont="1" applyFill="1" applyBorder="1" applyAlignment="1">
      <alignment horizontal="right"/>
    </xf>
    <xf numFmtId="3" fontId="28" fillId="55" borderId="9" xfId="0" applyNumberFormat="1" applyFont="1" applyFill="1" applyBorder="1" applyAlignment="1">
      <alignment horizontal="right" vertical="center"/>
    </xf>
    <xf numFmtId="3" fontId="25" fillId="6" borderId="118" xfId="0" applyNumberFormat="1" applyFont="1" applyFill="1" applyBorder="1" applyAlignment="1">
      <alignment vertical="center"/>
    </xf>
    <xf numFmtId="3" fontId="25" fillId="22" borderId="117" xfId="0" applyNumberFormat="1" applyFont="1" applyFill="1" applyBorder="1" applyAlignment="1">
      <alignment vertical="center"/>
    </xf>
    <xf numFmtId="3" fontId="27" fillId="32" borderId="118" xfId="0" applyNumberFormat="1" applyFont="1" applyFill="1" applyBorder="1" applyAlignment="1">
      <alignment vertical="center"/>
    </xf>
    <xf numFmtId="43" fontId="27" fillId="25" borderId="117" xfId="1" applyFont="1" applyFill="1" applyBorder="1" applyAlignment="1">
      <alignment vertical="center"/>
    </xf>
    <xf numFmtId="43" fontId="31" fillId="25" borderId="117" xfId="1" applyFont="1" applyFill="1" applyBorder="1" applyAlignment="1">
      <alignment vertical="top"/>
    </xf>
    <xf numFmtId="3" fontId="28" fillId="55" borderId="118" xfId="0" applyNumberFormat="1" applyFont="1" applyFill="1" applyBorder="1" applyAlignment="1">
      <alignment vertical="top"/>
    </xf>
    <xf numFmtId="43" fontId="28" fillId="25" borderId="117" xfId="1" applyFont="1" applyFill="1" applyBorder="1" applyAlignment="1">
      <alignment vertical="center"/>
    </xf>
    <xf numFmtId="3" fontId="27" fillId="0" borderId="118" xfId="0" applyNumberFormat="1" applyFont="1" applyFill="1" applyBorder="1" applyAlignment="1">
      <alignment vertical="top"/>
    </xf>
    <xf numFmtId="3" fontId="27" fillId="0" borderId="117" xfId="0" applyNumberFormat="1" applyFont="1" applyFill="1" applyBorder="1" applyAlignment="1">
      <alignment vertical="top"/>
    </xf>
    <xf numFmtId="3" fontId="27" fillId="25" borderId="117" xfId="0" applyNumberFormat="1" applyFont="1" applyFill="1" applyBorder="1" applyAlignment="1">
      <alignment vertical="top"/>
    </xf>
    <xf numFmtId="3" fontId="31" fillId="0" borderId="117" xfId="0" applyNumberFormat="1" applyFont="1" applyFill="1" applyBorder="1" applyAlignment="1">
      <alignment vertical="top"/>
    </xf>
    <xf numFmtId="3" fontId="31" fillId="23" borderId="117" xfId="0" applyNumberFormat="1" applyFont="1" applyFill="1" applyBorder="1" applyAlignment="1">
      <alignment vertical="center"/>
    </xf>
    <xf numFmtId="3" fontId="31" fillId="0" borderId="118" xfId="0" applyNumberFormat="1" applyFont="1" applyFill="1" applyBorder="1" applyAlignment="1">
      <alignment vertical="top"/>
    </xf>
    <xf numFmtId="3" fontId="31" fillId="0" borderId="118" xfId="0" applyNumberFormat="1" applyFont="1" applyFill="1" applyBorder="1" applyAlignment="1">
      <alignment horizontal="right" vertical="center"/>
    </xf>
    <xf numFmtId="3" fontId="28" fillId="58" borderId="118" xfId="0" applyNumberFormat="1" applyFont="1" applyFill="1" applyBorder="1" applyAlignment="1">
      <alignment vertical="top"/>
    </xf>
    <xf numFmtId="3" fontId="28" fillId="56" borderId="118" xfId="0" applyNumberFormat="1" applyFont="1" applyFill="1" applyBorder="1" applyAlignment="1">
      <alignment vertical="center"/>
    </xf>
    <xf numFmtId="3" fontId="28" fillId="59" borderId="118" xfId="0" applyNumberFormat="1" applyFont="1" applyFill="1" applyBorder="1" applyAlignment="1">
      <alignment vertical="top"/>
    </xf>
    <xf numFmtId="3" fontId="28" fillId="55" borderId="172" xfId="0" applyNumberFormat="1" applyFont="1" applyFill="1" applyBorder="1" applyAlignment="1">
      <alignment vertical="top"/>
    </xf>
    <xf numFmtId="3" fontId="27" fillId="0" borderId="118" xfId="0" applyNumberFormat="1" applyFont="1" applyFill="1" applyBorder="1" applyAlignment="1">
      <alignment vertical="center"/>
    </xf>
    <xf numFmtId="3" fontId="27" fillId="0" borderId="117" xfId="0" applyNumberFormat="1" applyFont="1" applyFill="1" applyBorder="1" applyAlignment="1">
      <alignment vertical="center"/>
    </xf>
    <xf numFmtId="3" fontId="28" fillId="0" borderId="131" xfId="0" applyNumberFormat="1" applyFont="1" applyFill="1" applyBorder="1" applyAlignment="1">
      <alignment vertical="center"/>
    </xf>
    <xf numFmtId="3" fontId="31" fillId="2" borderId="9" xfId="0" applyNumberFormat="1" applyFont="1" applyFill="1" applyBorder="1" applyAlignment="1">
      <alignment vertical="top"/>
    </xf>
    <xf numFmtId="0" fontId="26" fillId="0" borderId="43" xfId="0" applyFont="1" applyBorder="1" applyAlignment="1"/>
    <xf numFmtId="0" fontId="26" fillId="0" borderId="41" xfId="0" applyFont="1" applyBorder="1" applyAlignment="1"/>
    <xf numFmtId="3" fontId="27" fillId="0" borderId="137" xfId="4" applyNumberFormat="1" applyFont="1" applyFill="1" applyBorder="1" applyAlignment="1">
      <alignment vertical="top" wrapText="1"/>
    </xf>
    <xf numFmtId="0" fontId="33" fillId="0" borderId="137" xfId="0" applyFont="1" applyBorder="1" applyAlignment="1">
      <alignment vertical="center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31" fillId="6" borderId="137" xfId="0" applyFont="1" applyFill="1" applyBorder="1" applyAlignment="1">
      <alignment vertical="center"/>
    </xf>
    <xf numFmtId="0" fontId="27" fillId="55" borderId="8" xfId="4" applyFont="1" applyFill="1" applyBorder="1" applyAlignment="1">
      <alignment horizontal="left" vertical="center"/>
    </xf>
    <xf numFmtId="3" fontId="27" fillId="55" borderId="20" xfId="4" applyNumberFormat="1" applyFont="1" applyFill="1" applyBorder="1" applyAlignment="1">
      <alignment horizontal="right" vertical="center"/>
    </xf>
    <xf numFmtId="0" fontId="27" fillId="55" borderId="0" xfId="4" applyFont="1" applyFill="1" applyBorder="1" applyAlignment="1">
      <alignment horizontal="left" vertical="center"/>
    </xf>
    <xf numFmtId="3" fontId="27" fillId="55" borderId="6" xfId="4" applyNumberFormat="1" applyFont="1" applyFill="1" applyBorder="1" applyAlignment="1">
      <alignment horizontal="right" vertical="center"/>
    </xf>
    <xf numFmtId="0" fontId="27" fillId="55" borderId="68" xfId="0" applyFont="1" applyFill="1" applyBorder="1" applyAlignment="1">
      <alignment horizontal="left" vertical="center"/>
    </xf>
    <xf numFmtId="3" fontId="27" fillId="55" borderId="22" xfId="0" quotePrefix="1" applyNumberFormat="1" applyFont="1" applyFill="1" applyBorder="1" applyAlignment="1">
      <alignment horizontal="right" vertical="center"/>
    </xf>
    <xf numFmtId="3" fontId="27" fillId="8" borderId="28" xfId="0" applyNumberFormat="1" applyFont="1" applyFill="1" applyBorder="1" applyAlignment="1">
      <alignment vertical="center"/>
    </xf>
    <xf numFmtId="3" fontId="29" fillId="8" borderId="30" xfId="0" applyNumberFormat="1" applyFont="1" applyFill="1" applyBorder="1" applyAlignment="1">
      <alignment vertical="center"/>
    </xf>
    <xf numFmtId="3" fontId="27" fillId="23" borderId="30" xfId="0" applyNumberFormat="1" applyFont="1" applyFill="1" applyBorder="1" applyAlignment="1">
      <alignment vertical="center"/>
    </xf>
    <xf numFmtId="3" fontId="7" fillId="8" borderId="31" xfId="4" applyNumberFormat="1" applyFont="1" applyFill="1" applyBorder="1" applyAlignment="1">
      <alignment vertical="center" wrapText="1"/>
    </xf>
    <xf numFmtId="3" fontId="7" fillId="8" borderId="28" xfId="0" applyNumberFormat="1" applyFont="1" applyFill="1" applyBorder="1" applyAlignment="1">
      <alignment vertical="center"/>
    </xf>
    <xf numFmtId="3" fontId="7" fillId="8" borderId="30" xfId="0" applyNumberFormat="1" applyFont="1" applyFill="1" applyBorder="1" applyAlignment="1">
      <alignment vertical="center"/>
    </xf>
    <xf numFmtId="0" fontId="28" fillId="0" borderId="181" xfId="4" quotePrefix="1" applyFont="1" applyFill="1" applyBorder="1" applyAlignment="1">
      <alignment horizontal="right" vertical="center"/>
    </xf>
    <xf numFmtId="3" fontId="28" fillId="0" borderId="95" xfId="4" applyNumberFormat="1" applyFont="1" applyFill="1" applyBorder="1" applyAlignment="1">
      <alignment horizontal="right" vertical="center"/>
    </xf>
    <xf numFmtId="3" fontId="31" fillId="23" borderId="172" xfId="4" applyNumberFormat="1" applyFont="1" applyFill="1" applyBorder="1" applyAlignment="1">
      <alignment vertical="center"/>
    </xf>
    <xf numFmtId="3" fontId="28" fillId="0" borderId="173" xfId="4" applyNumberFormat="1" applyFont="1" applyFill="1" applyBorder="1" applyAlignment="1">
      <alignment horizontal="right" vertical="center"/>
    </xf>
    <xf numFmtId="3" fontId="31" fillId="23" borderId="182" xfId="4" applyNumberFormat="1" applyFont="1" applyFill="1" applyBorder="1" applyAlignment="1">
      <alignment vertical="center"/>
    </xf>
    <xf numFmtId="3" fontId="32" fillId="8" borderId="172" xfId="6" applyNumberFormat="1" applyFont="1" applyFill="1" applyBorder="1" applyAlignment="1">
      <alignment vertical="center"/>
    </xf>
    <xf numFmtId="3" fontId="29" fillId="8" borderId="181" xfId="4" applyNumberFormat="1" applyFont="1" applyFill="1" applyBorder="1" applyAlignment="1">
      <alignment vertical="center" wrapText="1"/>
    </xf>
    <xf numFmtId="3" fontId="32" fillId="8" borderId="176" xfId="6" applyNumberFormat="1" applyFont="1" applyFill="1" applyBorder="1" applyAlignment="1">
      <alignment vertical="center"/>
    </xf>
    <xf numFmtId="3" fontId="33" fillId="8" borderId="172" xfId="6" applyNumberFormat="1" applyFont="1" applyFill="1" applyBorder="1" applyAlignment="1">
      <alignment vertical="center"/>
    </xf>
    <xf numFmtId="3" fontId="7" fillId="8" borderId="134" xfId="4" applyNumberFormat="1" applyFont="1" applyFill="1" applyBorder="1" applyAlignment="1">
      <alignment vertical="center" wrapText="1"/>
    </xf>
    <xf numFmtId="3" fontId="32" fillId="8" borderId="148" xfId="6" applyNumberFormat="1" applyFont="1" applyFill="1" applyBorder="1" applyAlignment="1">
      <alignment vertical="center"/>
    </xf>
    <xf numFmtId="43" fontId="31" fillId="0" borderId="148" xfId="1" applyFont="1" applyFill="1" applyBorder="1" applyAlignment="1"/>
    <xf numFmtId="43" fontId="31" fillId="0" borderId="29" xfId="1" applyFont="1" applyFill="1" applyBorder="1" applyAlignment="1"/>
    <xf numFmtId="3" fontId="7" fillId="0" borderId="188" xfId="0" applyNumberFormat="1" applyFont="1" applyFill="1" applyBorder="1" applyAlignment="1">
      <alignment vertical="top"/>
    </xf>
    <xf numFmtId="3" fontId="31" fillId="0" borderId="188" xfId="0" applyNumberFormat="1" applyFont="1" applyFill="1" applyBorder="1" applyAlignment="1">
      <alignment vertical="top"/>
    </xf>
    <xf numFmtId="0" fontId="0" fillId="0" borderId="188" xfId="0" applyFont="1" applyBorder="1" applyAlignment="1">
      <alignment vertical="center"/>
    </xf>
    <xf numFmtId="0" fontId="42" fillId="2" borderId="87" xfId="0" applyFont="1" applyFill="1" applyBorder="1" applyAlignment="1">
      <alignment vertical="center"/>
    </xf>
    <xf numFmtId="0" fontId="61" fillId="2" borderId="18" xfId="0" applyFont="1" applyFill="1" applyBorder="1" applyAlignment="1">
      <alignment vertical="center"/>
    </xf>
    <xf numFmtId="0" fontId="61" fillId="36" borderId="18" xfId="0" applyFont="1" applyFill="1" applyBorder="1" applyAlignment="1">
      <alignment vertical="center"/>
    </xf>
    <xf numFmtId="0" fontId="61" fillId="2" borderId="45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vertical="top"/>
    </xf>
    <xf numFmtId="3" fontId="27" fillId="55" borderId="189" xfId="4" applyNumberFormat="1" applyFont="1" applyFill="1" applyBorder="1" applyAlignment="1">
      <alignment horizontal="right" vertical="center"/>
    </xf>
    <xf numFmtId="43" fontId="27" fillId="55" borderId="189" xfId="1" applyFont="1" applyFill="1" applyBorder="1" applyAlignment="1">
      <alignment horizontal="right" vertical="center"/>
    </xf>
    <xf numFmtId="3" fontId="27" fillId="21" borderId="188" xfId="4" applyNumberFormat="1" applyFont="1" applyFill="1" applyBorder="1" applyAlignment="1">
      <alignment horizontal="right" vertical="center"/>
    </xf>
    <xf numFmtId="3" fontId="27" fillId="55" borderId="189" xfId="0" quotePrefix="1" applyNumberFormat="1" applyFont="1" applyFill="1" applyBorder="1" applyAlignment="1">
      <alignment horizontal="right" vertical="top"/>
    </xf>
    <xf numFmtId="43" fontId="27" fillId="55" borderId="189" xfId="1" quotePrefix="1" applyFont="1" applyFill="1" applyBorder="1" applyAlignment="1">
      <alignment horizontal="right" vertical="top"/>
    </xf>
    <xf numFmtId="0" fontId="25" fillId="6" borderId="189" xfId="0" applyFont="1" applyFill="1" applyBorder="1" applyAlignment="1">
      <alignment vertical="center"/>
    </xf>
    <xf numFmtId="3" fontId="25" fillId="6" borderId="190" xfId="0" applyNumberFormat="1" applyFont="1" applyFill="1" applyBorder="1" applyAlignment="1">
      <alignment vertical="center"/>
    </xf>
    <xf numFmtId="3" fontId="25" fillId="6" borderId="191" xfId="0" applyNumberFormat="1" applyFont="1" applyFill="1" applyBorder="1" applyAlignment="1">
      <alignment vertical="center"/>
    </xf>
    <xf numFmtId="43" fontId="25" fillId="6" borderId="191" xfId="1" applyFont="1" applyFill="1" applyBorder="1" applyAlignment="1">
      <alignment vertical="center"/>
    </xf>
    <xf numFmtId="3" fontId="25" fillId="22" borderId="188" xfId="0" applyNumberFormat="1" applyFont="1" applyFill="1" applyBorder="1" applyAlignment="1">
      <alignment vertical="center"/>
    </xf>
    <xf numFmtId="0" fontId="24" fillId="8" borderId="11" xfId="4" applyFont="1" applyFill="1" applyBorder="1" applyAlignment="1">
      <alignment horizontal="right" vertical="top"/>
    </xf>
    <xf numFmtId="0" fontId="27" fillId="8" borderId="189" xfId="4" applyFont="1" applyFill="1" applyBorder="1" applyAlignment="1">
      <alignment horizontal="left" vertical="center"/>
    </xf>
    <xf numFmtId="3" fontId="27" fillId="8" borderId="188" xfId="4" applyNumberFormat="1" applyFont="1" applyFill="1" applyBorder="1" applyAlignment="1">
      <alignment vertical="top"/>
    </xf>
    <xf numFmtId="43" fontId="27" fillId="8" borderId="188" xfId="1" applyFont="1" applyFill="1" applyBorder="1" applyAlignment="1">
      <alignment vertical="top"/>
    </xf>
    <xf numFmtId="3" fontId="27" fillId="23" borderId="188" xfId="4" applyNumberFormat="1" applyFont="1" applyFill="1" applyBorder="1" applyAlignment="1">
      <alignment vertical="top"/>
    </xf>
    <xf numFmtId="0" fontId="7" fillId="8" borderId="26" xfId="4" applyFont="1" applyFill="1" applyBorder="1" applyAlignment="1">
      <alignment vertical="top"/>
    </xf>
    <xf numFmtId="0" fontId="7" fillId="8" borderId="189" xfId="4" applyFont="1" applyFill="1" applyBorder="1" applyAlignment="1">
      <alignment vertical="top"/>
    </xf>
    <xf numFmtId="3" fontId="7" fillId="8" borderId="188" xfId="4" applyNumberFormat="1" applyFont="1" applyFill="1" applyBorder="1" applyAlignment="1">
      <alignment vertical="top"/>
    </xf>
    <xf numFmtId="43" fontId="7" fillId="8" borderId="188" xfId="1" applyFont="1" applyFill="1" applyBorder="1" applyAlignment="1">
      <alignment vertical="top"/>
    </xf>
    <xf numFmtId="3" fontId="7" fillId="25" borderId="188" xfId="4" applyNumberFormat="1" applyFont="1" applyFill="1" applyBorder="1" applyAlignment="1">
      <alignment vertical="top"/>
    </xf>
    <xf numFmtId="0" fontId="7" fillId="8" borderId="189" xfId="4" applyFont="1" applyFill="1" applyBorder="1" applyAlignment="1">
      <alignment vertical="center"/>
    </xf>
    <xf numFmtId="3" fontId="7" fillId="8" borderId="188" xfId="4" applyNumberFormat="1" applyFont="1" applyFill="1" applyBorder="1" applyAlignment="1">
      <alignment vertical="center"/>
    </xf>
    <xf numFmtId="43" fontId="31" fillId="8" borderId="188" xfId="1" applyFont="1" applyFill="1" applyBorder="1" applyAlignment="1">
      <alignment vertical="center"/>
    </xf>
    <xf numFmtId="43" fontId="7" fillId="8" borderId="188" xfId="1" applyFont="1" applyFill="1" applyBorder="1" applyAlignment="1">
      <alignment vertical="center"/>
    </xf>
    <xf numFmtId="0" fontId="7" fillId="8" borderId="26" xfId="4" applyFont="1" applyFill="1" applyBorder="1" applyAlignment="1">
      <alignment vertical="center"/>
    </xf>
    <xf numFmtId="3" fontId="25" fillId="6" borderId="188" xfId="4" applyNumberFormat="1" applyFont="1" applyFill="1" applyBorder="1" applyAlignment="1">
      <alignment vertical="center"/>
    </xf>
    <xf numFmtId="43" fontId="25" fillId="6" borderId="188" xfId="1" applyFont="1" applyFill="1" applyBorder="1" applyAlignment="1">
      <alignment vertical="center"/>
    </xf>
    <xf numFmtId="0" fontId="24" fillId="8" borderId="26" xfId="4" applyFont="1" applyFill="1" applyBorder="1" applyAlignment="1">
      <alignment horizontal="right" vertical="top"/>
    </xf>
    <xf numFmtId="3" fontId="31" fillId="8" borderId="188" xfId="4" applyNumberFormat="1" applyFont="1" applyFill="1" applyBorder="1" applyAlignment="1">
      <alignment vertical="top"/>
    </xf>
    <xf numFmtId="43" fontId="31" fillId="8" borderId="188" xfId="1" applyFont="1" applyFill="1" applyBorder="1" applyAlignment="1">
      <alignment vertical="top"/>
    </xf>
    <xf numFmtId="0" fontId="7" fillId="8" borderId="68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3" fontId="25" fillId="22" borderId="188" xfId="4" applyNumberFormat="1" applyFont="1" applyFill="1" applyBorder="1" applyAlignment="1">
      <alignment vertical="center"/>
    </xf>
    <xf numFmtId="3" fontId="27" fillId="0" borderId="188" xfId="4" applyNumberFormat="1" applyFont="1" applyFill="1" applyBorder="1" applyAlignment="1">
      <alignment horizontal="right" vertical="center"/>
    </xf>
    <xf numFmtId="3" fontId="29" fillId="0" borderId="188" xfId="4" applyNumberFormat="1" applyFont="1" applyFill="1" applyBorder="1" applyAlignment="1">
      <alignment horizontal="right" vertical="center"/>
    </xf>
    <xf numFmtId="3" fontId="27" fillId="25" borderId="188" xfId="4" applyNumberFormat="1" applyFont="1" applyFill="1" applyBorder="1" applyAlignment="1">
      <alignment horizontal="right" vertical="center"/>
    </xf>
    <xf numFmtId="3" fontId="7" fillId="0" borderId="188" xfId="4" applyNumberFormat="1" applyFont="1" applyFill="1" applyBorder="1" applyAlignment="1">
      <alignment vertical="top"/>
    </xf>
    <xf numFmtId="43" fontId="7" fillId="0" borderId="188" xfId="1" applyFont="1" applyFill="1" applyBorder="1" applyAlignment="1">
      <alignment vertical="top"/>
    </xf>
    <xf numFmtId="43" fontId="31" fillId="0" borderId="188" xfId="1" applyFont="1" applyFill="1" applyBorder="1" applyAlignment="1">
      <alignment vertical="top"/>
    </xf>
    <xf numFmtId="3" fontId="31" fillId="0" borderId="188" xfId="4" applyNumberFormat="1" applyFont="1" applyFill="1" applyBorder="1" applyAlignment="1">
      <alignment horizontal="right" vertical="center"/>
    </xf>
    <xf numFmtId="43" fontId="27" fillId="0" borderId="35" xfId="1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43" fontId="25" fillId="6" borderId="137" xfId="1" applyFont="1" applyFill="1" applyBorder="1" applyAlignment="1">
      <alignment vertical="center"/>
    </xf>
    <xf numFmtId="43" fontId="27" fillId="0" borderId="96" xfId="1" applyFont="1" applyFill="1" applyBorder="1" applyAlignment="1">
      <alignment horizontal="right" vertical="center"/>
    </xf>
    <xf numFmtId="43" fontId="31" fillId="0" borderId="172" xfId="1" applyFont="1" applyFill="1" applyBorder="1" applyAlignment="1"/>
    <xf numFmtId="43" fontId="27" fillId="0" borderId="63" xfId="1" applyFont="1" applyFill="1" applyBorder="1" applyAlignment="1">
      <alignment horizontal="right" vertical="center"/>
    </xf>
    <xf numFmtId="43" fontId="7" fillId="0" borderId="173" xfId="1" applyFont="1" applyFill="1" applyBorder="1" applyAlignment="1">
      <alignment horizontal="right" vertical="center"/>
    </xf>
    <xf numFmtId="43" fontId="27" fillId="0" borderId="95" xfId="1" applyFont="1" applyFill="1" applyBorder="1" applyAlignment="1">
      <alignment horizontal="right" vertical="center"/>
    </xf>
    <xf numFmtId="43" fontId="7" fillId="0" borderId="95" xfId="1" applyFont="1" applyFill="1" applyBorder="1" applyAlignment="1">
      <alignment horizontal="right" vertical="center"/>
    </xf>
    <xf numFmtId="43" fontId="27" fillId="0" borderId="65" xfId="1" applyFont="1" applyFill="1" applyBorder="1" applyAlignment="1">
      <alignment horizontal="right" vertical="center"/>
    </xf>
    <xf numFmtId="43" fontId="7" fillId="0" borderId="65" xfId="1" applyFont="1" applyFill="1" applyBorder="1" applyAlignment="1">
      <alignment horizontal="right" vertical="center"/>
    </xf>
    <xf numFmtId="43" fontId="27" fillId="8" borderId="137" xfId="1" applyFont="1" applyFill="1" applyBorder="1" applyAlignment="1">
      <alignment vertical="center"/>
    </xf>
    <xf numFmtId="43" fontId="31" fillId="28" borderId="137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wrapText="1"/>
    </xf>
    <xf numFmtId="3" fontId="20" fillId="0" borderId="26" xfId="0" applyNumberFormat="1" applyFont="1" applyFill="1" applyBorder="1" applyAlignment="1">
      <alignment horizontal="center" vertical="top" wrapText="1"/>
    </xf>
    <xf numFmtId="3" fontId="20" fillId="0" borderId="0" xfId="0" applyNumberFormat="1" applyFont="1" applyFill="1" applyBorder="1" applyAlignment="1">
      <alignment horizontal="center" vertical="top" wrapText="1"/>
    </xf>
    <xf numFmtId="3" fontId="0" fillId="0" borderId="26" xfId="0" applyNumberFormat="1" applyFont="1" applyBorder="1" applyAlignment="1">
      <alignment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7" fillId="0" borderId="188" xfId="4" applyNumberFormat="1" applyFont="1" applyFill="1" applyBorder="1" applyAlignment="1">
      <alignment horizontal="right" vertical="center"/>
    </xf>
    <xf numFmtId="0" fontId="0" fillId="0" borderId="188" xfId="0" applyFont="1" applyBorder="1"/>
    <xf numFmtId="3" fontId="0" fillId="0" borderId="188" xfId="0" applyNumberFormat="1" applyFont="1" applyBorder="1" applyAlignment="1">
      <alignment vertical="center"/>
    </xf>
    <xf numFmtId="3" fontId="37" fillId="0" borderId="188" xfId="0" applyNumberFormat="1" applyFont="1" applyBorder="1" applyAlignment="1">
      <alignment vertical="center"/>
    </xf>
    <xf numFmtId="0" fontId="41" fillId="0" borderId="188" xfId="0" applyFont="1" applyBorder="1" applyAlignment="1">
      <alignment vertical="center"/>
    </xf>
    <xf numFmtId="3" fontId="41" fillId="0" borderId="188" xfId="0" applyNumberFormat="1" applyFont="1" applyBorder="1" applyAlignment="1">
      <alignment vertical="center"/>
    </xf>
    <xf numFmtId="0" fontId="18" fillId="0" borderId="188" xfId="0" applyFont="1" applyBorder="1" applyAlignment="1">
      <alignment vertical="top"/>
    </xf>
    <xf numFmtId="3" fontId="0" fillId="0" borderId="188" xfId="0" applyNumberFormat="1" applyFont="1" applyBorder="1"/>
    <xf numFmtId="3" fontId="37" fillId="0" borderId="188" xfId="0" applyNumberFormat="1" applyFont="1" applyBorder="1"/>
    <xf numFmtId="3" fontId="8" fillId="0" borderId="188" xfId="0" applyNumberFormat="1" applyFont="1" applyBorder="1" applyAlignment="1">
      <alignment vertical="top"/>
    </xf>
    <xf numFmtId="0" fontId="37" fillId="0" borderId="188" xfId="0" applyFont="1" applyBorder="1" applyAlignment="1">
      <alignment vertical="center"/>
    </xf>
    <xf numFmtId="0" fontId="24" fillId="8" borderId="188" xfId="4" applyFont="1" applyFill="1" applyBorder="1" applyAlignment="1">
      <alignment vertical="center" wrapText="1"/>
    </xf>
    <xf numFmtId="0" fontId="24" fillId="8" borderId="188" xfId="4" applyFont="1" applyFill="1" applyBorder="1" applyAlignment="1">
      <alignment horizontal="center" vertical="center" wrapText="1"/>
    </xf>
    <xf numFmtId="3" fontId="7" fillId="8" borderId="188" xfId="4" applyNumberFormat="1" applyFont="1" applyFill="1" applyBorder="1" applyAlignment="1">
      <alignment horizontal="right" vertical="center"/>
    </xf>
    <xf numFmtId="3" fontId="24" fillId="8" borderId="188" xfId="4" applyNumberFormat="1" applyFont="1" applyFill="1" applyBorder="1" applyAlignment="1">
      <alignment horizontal="right" vertical="center"/>
    </xf>
    <xf numFmtId="3" fontId="24" fillId="22" borderId="188" xfId="4" applyNumberFormat="1" applyFont="1" applyFill="1" applyBorder="1" applyAlignment="1">
      <alignment horizontal="right" vertical="center"/>
    </xf>
    <xf numFmtId="0" fontId="24" fillId="6" borderId="188" xfId="4" applyFont="1" applyFill="1" applyBorder="1" applyAlignment="1">
      <alignment horizontal="left" vertical="center"/>
    </xf>
    <xf numFmtId="0" fontId="25" fillId="6" borderId="188" xfId="4" applyFont="1" applyFill="1" applyBorder="1" applyAlignment="1">
      <alignment horizontal="left" vertical="center"/>
    </xf>
    <xf numFmtId="3" fontId="25" fillId="6" borderId="188" xfId="4" applyNumberFormat="1" applyFont="1" applyFill="1" applyBorder="1" applyAlignment="1">
      <alignment horizontal="right" vertical="center"/>
    </xf>
    <xf numFmtId="3" fontId="25" fillId="22" borderId="188" xfId="4" applyNumberFormat="1" applyFont="1" applyFill="1" applyBorder="1" applyAlignment="1">
      <alignment horizontal="right" vertical="center"/>
    </xf>
    <xf numFmtId="3" fontId="29" fillId="2" borderId="188" xfId="4" applyNumberFormat="1" applyFont="1" applyFill="1" applyBorder="1" applyAlignment="1">
      <alignment vertical="top" wrapText="1"/>
    </xf>
    <xf numFmtId="0" fontId="7" fillId="0" borderId="188" xfId="4" applyFont="1" applyFill="1" applyBorder="1" applyAlignment="1">
      <alignment vertical="top"/>
    </xf>
    <xf numFmtId="3" fontId="7" fillId="25" borderId="188" xfId="4" applyNumberFormat="1" applyFont="1" applyFill="1" applyBorder="1" applyAlignment="1">
      <alignment horizontal="right" vertical="center"/>
    </xf>
    <xf numFmtId="3" fontId="32" fillId="0" borderId="188" xfId="6" applyNumberFormat="1" applyFont="1" applyFill="1" applyBorder="1" applyAlignment="1">
      <alignment vertical="center"/>
    </xf>
    <xf numFmtId="0" fontId="29" fillId="2" borderId="188" xfId="4" applyFont="1" applyFill="1" applyBorder="1" applyAlignment="1">
      <alignment vertical="top"/>
    </xf>
    <xf numFmtId="3" fontId="33" fillId="0" borderId="188" xfId="6" applyNumberFormat="1" applyFont="1" applyFill="1" applyBorder="1" applyAlignment="1">
      <alignment vertical="center"/>
    </xf>
    <xf numFmtId="3" fontId="33" fillId="25" borderId="188" xfId="6" applyNumberFormat="1" applyFont="1" applyFill="1" applyBorder="1" applyAlignment="1">
      <alignment vertical="center"/>
    </xf>
    <xf numFmtId="3" fontId="31" fillId="0" borderId="188" xfId="0" applyNumberFormat="1" applyFont="1" applyFill="1" applyBorder="1" applyAlignment="1">
      <alignment horizontal="right"/>
    </xf>
    <xf numFmtId="3" fontId="31" fillId="0" borderId="188" xfId="0" applyNumberFormat="1" applyFont="1" applyFill="1" applyBorder="1" applyAlignment="1">
      <alignment horizontal="right" vertical="center"/>
    </xf>
    <xf numFmtId="3" fontId="24" fillId="6" borderId="188" xfId="4" applyNumberFormat="1" applyFont="1" applyFill="1" applyBorder="1" applyAlignment="1">
      <alignment vertical="center"/>
    </xf>
    <xf numFmtId="3" fontId="24" fillId="6" borderId="188" xfId="4" applyNumberFormat="1" applyFont="1" applyFill="1" applyBorder="1" applyAlignment="1"/>
    <xf numFmtId="3" fontId="31" fillId="23" borderId="188" xfId="4" applyNumberFormat="1" applyFont="1" applyFill="1" applyBorder="1" applyAlignment="1">
      <alignment vertical="center"/>
    </xf>
    <xf numFmtId="3" fontId="25" fillId="22" borderId="183" xfId="4" applyNumberFormat="1" applyFont="1" applyFill="1" applyBorder="1" applyAlignment="1">
      <alignment horizontal="right" vertical="center"/>
    </xf>
    <xf numFmtId="3" fontId="31" fillId="0" borderId="183" xfId="4" applyNumberFormat="1" applyFont="1" applyFill="1" applyBorder="1" applyAlignment="1">
      <alignment vertical="center"/>
    </xf>
    <xf numFmtId="43" fontId="31" fillId="0" borderId="183" xfId="1" applyFont="1" applyFill="1" applyBorder="1" applyAlignment="1">
      <alignment vertical="center"/>
    </xf>
    <xf numFmtId="0" fontId="75" fillId="2" borderId="0" xfId="0" applyFont="1" applyFill="1" applyBorder="1" applyAlignment="1">
      <alignment horizontal="center" wrapText="1"/>
    </xf>
    <xf numFmtId="0" fontId="42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79" fillId="2" borderId="0" xfId="0" applyFont="1" applyFill="1" applyBorder="1" applyAlignment="1">
      <alignment vertical="center"/>
    </xf>
    <xf numFmtId="3" fontId="79" fillId="2" borderId="0" xfId="0" applyNumberFormat="1" applyFont="1" applyFill="1" applyAlignment="1">
      <alignment vertical="center"/>
    </xf>
    <xf numFmtId="3" fontId="79" fillId="2" borderId="0" xfId="0" applyNumberFormat="1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vertical="center"/>
    </xf>
    <xf numFmtId="0" fontId="25" fillId="6" borderId="142" xfId="4" applyFont="1" applyFill="1" applyBorder="1" applyAlignment="1">
      <alignment horizontal="left" vertical="center"/>
    </xf>
    <xf numFmtId="3" fontId="25" fillId="6" borderId="139" xfId="4" applyNumberFormat="1" applyFont="1" applyFill="1" applyBorder="1" applyAlignment="1">
      <alignment vertical="center"/>
    </xf>
    <xf numFmtId="3" fontId="25" fillId="6" borderId="137" xfId="4" applyNumberFormat="1" applyFont="1" applyFill="1" applyBorder="1" applyAlignment="1">
      <alignment vertical="center"/>
    </xf>
    <xf numFmtId="3" fontId="25" fillId="6" borderId="9" xfId="4" applyNumberFormat="1" applyFont="1" applyFill="1" applyBorder="1" applyAlignment="1">
      <alignment vertical="center"/>
    </xf>
    <xf numFmtId="3" fontId="27" fillId="2" borderId="142" xfId="4" applyNumberFormat="1" applyFont="1" applyFill="1" applyBorder="1" applyAlignment="1">
      <alignment vertical="center" wrapText="1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3" fontId="31" fillId="0" borderId="136" xfId="4" applyNumberFormat="1" applyFont="1" applyFill="1" applyBorder="1" applyAlignment="1">
      <alignment vertical="center"/>
    </xf>
    <xf numFmtId="43" fontId="31" fillId="0" borderId="139" xfId="1" applyFont="1" applyFill="1" applyBorder="1" applyAlignment="1">
      <alignment horizontal="right" vertical="center"/>
    </xf>
    <xf numFmtId="43" fontId="7" fillId="0" borderId="139" xfId="1" applyFont="1" applyFill="1" applyBorder="1" applyAlignment="1">
      <alignment horizontal="right" vertical="center"/>
    </xf>
    <xf numFmtId="3" fontId="31" fillId="0" borderId="139" xfId="4" applyNumberFormat="1" applyFont="1" applyFill="1" applyBorder="1" applyAlignment="1">
      <alignment horizontal="right" vertical="center"/>
    </xf>
    <xf numFmtId="43" fontId="31" fillId="0" borderId="136" xfId="1" applyFont="1" applyFill="1" applyBorder="1" applyAlignment="1">
      <alignment horizontal="right" vertical="center"/>
    </xf>
    <xf numFmtId="43" fontId="7" fillId="0" borderId="136" xfId="1" applyFont="1" applyFill="1" applyBorder="1" applyAlignment="1">
      <alignment horizontal="right" vertical="center"/>
    </xf>
    <xf numFmtId="3" fontId="31" fillId="0" borderId="136" xfId="4" applyNumberFormat="1" applyFont="1" applyFill="1" applyBorder="1" applyAlignment="1">
      <alignment horizontal="right" vertical="center"/>
    </xf>
    <xf numFmtId="0" fontId="27" fillId="2" borderId="142" xfId="4" applyFont="1" applyFill="1" applyBorder="1" applyAlignment="1">
      <alignment vertical="center"/>
    </xf>
    <xf numFmtId="3" fontId="33" fillId="0" borderId="139" xfId="6" applyNumberFormat="1" applyFont="1" applyFill="1" applyBorder="1" applyAlignment="1">
      <alignment vertical="center"/>
    </xf>
    <xf numFmtId="3" fontId="33" fillId="0" borderId="137" xfId="6" applyNumberFormat="1" applyFont="1" applyFill="1" applyBorder="1" applyAlignment="1">
      <alignment vertical="center"/>
    </xf>
    <xf numFmtId="43" fontId="33" fillId="0" borderId="137" xfId="1" applyFont="1" applyFill="1" applyBorder="1" applyAlignment="1">
      <alignment vertical="center"/>
    </xf>
    <xf numFmtId="43" fontId="24" fillId="6" borderId="137" xfId="1" applyFont="1" applyFill="1" applyBorder="1" applyAlignment="1">
      <alignment vertical="center"/>
    </xf>
    <xf numFmtId="3" fontId="24" fillId="26" borderId="112" xfId="4" applyNumberFormat="1" applyFont="1" applyFill="1" applyBorder="1" applyAlignment="1">
      <alignment horizontal="center" vertical="center"/>
    </xf>
    <xf numFmtId="3" fontId="32" fillId="0" borderId="9" xfId="6" applyNumberFormat="1" applyFont="1" applyFill="1" applyBorder="1" applyAlignment="1">
      <alignment vertical="center"/>
    </xf>
    <xf numFmtId="43" fontId="32" fillId="0" borderId="9" xfId="1" applyFont="1" applyFill="1" applyBorder="1" applyAlignment="1">
      <alignment vertical="center"/>
    </xf>
    <xf numFmtId="3" fontId="32" fillId="0" borderId="137" xfId="6" applyNumberFormat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43" fontId="31" fillId="0" borderId="35" xfId="1" applyFont="1" applyFill="1" applyBorder="1" applyAlignment="1">
      <alignment horizontal="righ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9" xfId="4" applyFont="1" applyFill="1" applyBorder="1" applyAlignment="1">
      <alignment vertical="center" wrapText="1"/>
    </xf>
    <xf numFmtId="0" fontId="24" fillId="8" borderId="70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43" fontId="25" fillId="6" borderId="93" xfId="1" applyFont="1" applyFill="1" applyBorder="1" applyAlignment="1">
      <alignment vertical="top"/>
    </xf>
    <xf numFmtId="43" fontId="27" fillId="2" borderId="93" xfId="1" applyFont="1" applyFill="1" applyBorder="1" applyAlignment="1">
      <alignment vertical="top"/>
    </xf>
    <xf numFmtId="3" fontId="28" fillId="2" borderId="139" xfId="0" applyNumberFormat="1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43" fontId="27" fillId="0" borderId="93" xfId="1" applyFont="1" applyFill="1" applyBorder="1" applyAlignment="1">
      <alignment vertical="top"/>
    </xf>
    <xf numFmtId="0" fontId="31" fillId="0" borderId="135" xfId="0" applyFont="1" applyFill="1" applyBorder="1" applyAlignment="1">
      <alignment horizontal="left" vertical="center" wrapText="1"/>
    </xf>
    <xf numFmtId="3" fontId="31" fillId="0" borderId="137" xfId="0" applyNumberFormat="1" applyFont="1" applyFill="1" applyBorder="1" applyAlignment="1">
      <alignment horizontal="right" vertical="center"/>
    </xf>
    <xf numFmtId="0" fontId="28" fillId="0" borderId="145" xfId="0" applyFont="1" applyFill="1" applyBorder="1" applyAlignment="1">
      <alignment vertical="top"/>
    </xf>
    <xf numFmtId="3" fontId="31" fillId="0" borderId="173" xfId="0" applyNumberFormat="1" applyFont="1" applyFill="1" applyBorder="1" applyAlignment="1">
      <alignment horizontal="right" vertical="center"/>
    </xf>
    <xf numFmtId="3" fontId="31" fillId="25" borderId="182" xfId="0" applyNumberFormat="1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72" xfId="0" applyNumberFormat="1" applyFont="1" applyFill="1" applyBorder="1" applyAlignment="1">
      <alignment horizontal="right" vertical="center"/>
    </xf>
    <xf numFmtId="3" fontId="28" fillId="25" borderId="137" xfId="0" applyNumberFormat="1" applyFont="1" applyFill="1" applyBorder="1" applyAlignment="1">
      <alignment vertical="top"/>
    </xf>
    <xf numFmtId="3" fontId="25" fillId="22" borderId="105" xfId="0" applyNumberFormat="1" applyFont="1" applyFill="1" applyBorder="1" applyAlignment="1">
      <alignment vertical="top"/>
    </xf>
    <xf numFmtId="3" fontId="25" fillId="25" borderId="104" xfId="0" applyNumberFormat="1" applyFont="1" applyFill="1" applyBorder="1" applyAlignment="1">
      <alignment vertical="top"/>
    </xf>
    <xf numFmtId="3" fontId="25" fillId="22" borderId="172" xfId="0" applyNumberFormat="1" applyFont="1" applyFill="1" applyBorder="1" applyAlignment="1">
      <alignment vertical="top"/>
    </xf>
    <xf numFmtId="3" fontId="27" fillId="25" borderId="172" xfId="0" applyNumberFormat="1" applyFont="1" applyFill="1" applyBorder="1" applyAlignment="1">
      <alignment vertical="top"/>
    </xf>
    <xf numFmtId="0" fontId="31" fillId="0" borderId="77" xfId="0" applyFont="1" applyFill="1" applyBorder="1" applyAlignment="1">
      <alignment vertical="top"/>
    </xf>
    <xf numFmtId="3" fontId="27" fillId="32" borderId="172" xfId="0" applyNumberFormat="1" applyFont="1" applyFill="1" applyBorder="1" applyAlignment="1">
      <alignment vertical="center"/>
    </xf>
    <xf numFmtId="43" fontId="27" fillId="32" borderId="172" xfId="1" applyFont="1" applyFill="1" applyBorder="1" applyAlignment="1">
      <alignment vertical="center"/>
    </xf>
    <xf numFmtId="0" fontId="31" fillId="2" borderId="77" xfId="0" applyFont="1" applyFill="1" applyBorder="1" applyAlignment="1">
      <alignment vertical="center"/>
    </xf>
    <xf numFmtId="3" fontId="31" fillId="2" borderId="131" xfId="0" applyNumberFormat="1" applyFont="1" applyFill="1" applyBorder="1" applyAlignment="1">
      <alignment vertical="top"/>
    </xf>
    <xf numFmtId="3" fontId="31" fillId="32" borderId="131" xfId="0" applyNumberFormat="1" applyFont="1" applyFill="1" applyBorder="1" applyAlignment="1">
      <alignment vertical="top"/>
    </xf>
    <xf numFmtId="43" fontId="31" fillId="32" borderId="131" xfId="1" applyFont="1" applyFill="1" applyBorder="1" applyAlignment="1">
      <alignment vertical="top"/>
    </xf>
    <xf numFmtId="0" fontId="29" fillId="8" borderId="43" xfId="0" applyFont="1" applyFill="1" applyBorder="1" applyAlignment="1">
      <alignment vertical="top"/>
    </xf>
    <xf numFmtId="3" fontId="18" fillId="8" borderId="13" xfId="4" applyNumberFormat="1" applyFont="1" applyFill="1" applyBorder="1" applyAlignment="1">
      <alignment vertical="top" wrapText="1"/>
    </xf>
    <xf numFmtId="0" fontId="7" fillId="8" borderId="43" xfId="4" applyFont="1" applyFill="1" applyBorder="1" applyAlignment="1">
      <alignment vertical="top"/>
    </xf>
    <xf numFmtId="3" fontId="18" fillId="8" borderId="12" xfId="4" applyNumberFormat="1" applyFont="1" applyFill="1" applyBorder="1" applyAlignment="1">
      <alignment vertical="top" wrapText="1"/>
    </xf>
    <xf numFmtId="0" fontId="25" fillId="8" borderId="10" xfId="0" applyFont="1" applyFill="1" applyBorder="1" applyAlignment="1">
      <alignment vertical="center"/>
    </xf>
    <xf numFmtId="3" fontId="25" fillId="22" borderId="35" xfId="4" applyNumberFormat="1" applyFont="1" applyFill="1" applyBorder="1" applyAlignment="1">
      <alignment horizontal="right" vertical="center"/>
    </xf>
    <xf numFmtId="3" fontId="18" fillId="0" borderId="13" xfId="4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4" fillId="8" borderId="10" xfId="4" applyFont="1" applyFill="1" applyBorder="1" applyAlignment="1">
      <alignment horizontal="right" vertical="top"/>
    </xf>
    <xf numFmtId="0" fontId="27" fillId="8" borderId="172" xfId="4" applyFont="1" applyFill="1" applyBorder="1" applyAlignment="1">
      <alignment horizontal="left" vertical="center"/>
    </xf>
    <xf numFmtId="3" fontId="27" fillId="8" borderId="171" xfId="4" applyNumberFormat="1" applyFont="1" applyFill="1" applyBorder="1" applyAlignment="1">
      <alignment vertical="top"/>
    </xf>
    <xf numFmtId="3" fontId="27" fillId="23" borderId="171" xfId="4" applyNumberFormat="1" applyFont="1" applyFill="1" applyBorder="1" applyAlignment="1">
      <alignment vertical="top"/>
    </xf>
    <xf numFmtId="0" fontId="0" fillId="0" borderId="0" xfId="0" applyFont="1" applyFill="1" applyBorder="1"/>
    <xf numFmtId="0" fontId="7" fillId="8" borderId="10" xfId="4" applyFont="1" applyFill="1" applyBorder="1" applyAlignment="1">
      <alignment vertical="top"/>
    </xf>
    <xf numFmtId="0" fontId="7" fillId="8" borderId="172" xfId="4" applyFont="1" applyFill="1" applyBorder="1" applyAlignment="1">
      <alignment vertical="top"/>
    </xf>
    <xf numFmtId="3" fontId="7" fillId="8" borderId="171" xfId="4" applyNumberFormat="1" applyFont="1" applyFill="1" applyBorder="1" applyAlignment="1">
      <alignment vertical="top"/>
    </xf>
    <xf numFmtId="3" fontId="7" fillId="23" borderId="171" xfId="4" applyNumberFormat="1" applyFont="1" applyFill="1" applyBorder="1" applyAlignment="1">
      <alignment vertical="top"/>
    </xf>
    <xf numFmtId="3" fontId="32" fillId="0" borderId="0" xfId="0" applyNumberFormat="1" applyFont="1" applyFill="1" applyBorder="1"/>
    <xf numFmtId="3" fontId="0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72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72" xfId="4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top"/>
    </xf>
    <xf numFmtId="0" fontId="7" fillId="8" borderId="77" xfId="4" applyFont="1" applyFill="1" applyBorder="1" applyAlignment="1">
      <alignment vertical="top" wrapText="1"/>
    </xf>
    <xf numFmtId="0" fontId="31" fillId="8" borderId="148" xfId="4" applyFont="1" applyFill="1" applyBorder="1" applyAlignment="1">
      <alignment horizontal="left" vertical="center"/>
    </xf>
    <xf numFmtId="3" fontId="7" fillId="8" borderId="131" xfId="4" applyNumberFormat="1" applyFont="1" applyFill="1" applyBorder="1" applyAlignment="1">
      <alignment vertical="top"/>
    </xf>
    <xf numFmtId="0" fontId="0" fillId="0" borderId="0" xfId="0" applyFont="1" applyAlignment="1">
      <alignment horizontal="left" vertical="center"/>
    </xf>
    <xf numFmtId="0" fontId="4" fillId="0" borderId="188" xfId="0" applyFont="1" applyBorder="1"/>
    <xf numFmtId="0" fontId="4" fillId="0" borderId="188" xfId="0" applyFont="1" applyBorder="1" applyAlignment="1">
      <alignment vertical="center"/>
    </xf>
    <xf numFmtId="3" fontId="4" fillId="0" borderId="188" xfId="0" applyNumberFormat="1" applyFont="1" applyBorder="1"/>
    <xf numFmtId="0" fontId="8" fillId="0" borderId="0" xfId="0" applyFont="1" applyFill="1"/>
    <xf numFmtId="0" fontId="36" fillId="0" borderId="13" xfId="0" applyFont="1" applyBorder="1" applyAlignment="1">
      <alignment horizontal="center" vertical="center"/>
    </xf>
    <xf numFmtId="3" fontId="31" fillId="0" borderId="39" xfId="0" quotePrefix="1" applyNumberFormat="1" applyFont="1" applyBorder="1" applyAlignment="1">
      <alignment horizontal="center" vertical="center"/>
    </xf>
    <xf numFmtId="3" fontId="7" fillId="0" borderId="2" xfId="0" quotePrefix="1" applyNumberFormat="1" applyFont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3" fontId="64" fillId="37" borderId="39" xfId="0" applyNumberFormat="1" applyFont="1" applyFill="1" applyBorder="1" applyAlignment="1">
      <alignment vertical="center" wrapText="1"/>
    </xf>
    <xf numFmtId="3" fontId="64" fillId="38" borderId="40" xfId="0" applyNumberFormat="1" applyFont="1" applyFill="1" applyBorder="1" applyAlignment="1">
      <alignment vertical="center" wrapText="1"/>
    </xf>
    <xf numFmtId="164" fontId="77" fillId="0" borderId="0" xfId="0" applyNumberFormat="1" applyFont="1" applyFill="1" applyBorder="1" applyAlignment="1">
      <alignment vertical="center"/>
    </xf>
    <xf numFmtId="3" fontId="64" fillId="6" borderId="39" xfId="0" applyNumberFormat="1" applyFont="1" applyFill="1" applyBorder="1" applyAlignment="1">
      <alignment vertical="center" wrapText="1"/>
    </xf>
    <xf numFmtId="3" fontId="64" fillId="39" borderId="40" xfId="0" applyNumberFormat="1" applyFont="1" applyFill="1" applyBorder="1" applyAlignment="1">
      <alignment horizontal="center" vertical="center" wrapText="1"/>
    </xf>
    <xf numFmtId="164" fontId="77" fillId="2" borderId="0" xfId="0" applyNumberFormat="1" applyFont="1" applyFill="1" applyBorder="1" applyAlignment="1">
      <alignment vertical="center"/>
    </xf>
    <xf numFmtId="3" fontId="64" fillId="2" borderId="15" xfId="0" applyNumberFormat="1" applyFont="1" applyFill="1" applyBorder="1" applyAlignment="1">
      <alignment vertical="center" wrapText="1"/>
    </xf>
    <xf numFmtId="3" fontId="64" fillId="0" borderId="42" xfId="0" applyNumberFormat="1" applyFont="1" applyFill="1" applyBorder="1" applyAlignment="1">
      <alignment horizontal="center" vertical="center" wrapText="1"/>
    </xf>
    <xf numFmtId="3" fontId="81" fillId="4" borderId="35" xfId="0" applyNumberFormat="1" applyFont="1" applyFill="1" applyBorder="1" applyAlignment="1">
      <alignment vertical="center" wrapText="1"/>
    </xf>
    <xf numFmtId="3" fontId="69" fillId="40" borderId="46" xfId="0" applyNumberFormat="1" applyFont="1" applyFill="1" applyBorder="1" applyAlignment="1">
      <alignment vertical="center" wrapText="1"/>
    </xf>
    <xf numFmtId="3" fontId="81" fillId="6" borderId="30" xfId="0" applyNumberFormat="1" applyFont="1" applyFill="1" applyBorder="1" applyAlignment="1">
      <alignment vertical="center" wrapText="1"/>
    </xf>
    <xf numFmtId="3" fontId="64" fillId="41" borderId="49" xfId="0" applyNumberFormat="1" applyFont="1" applyFill="1" applyBorder="1" applyAlignment="1">
      <alignment horizontal="center" vertical="center" wrapText="1"/>
    </xf>
    <xf numFmtId="3" fontId="81" fillId="4" borderId="30" xfId="0" applyNumberFormat="1" applyFont="1" applyFill="1" applyBorder="1" applyAlignment="1">
      <alignment vertical="center" wrapText="1"/>
    </xf>
    <xf numFmtId="3" fontId="69" fillId="40" borderId="174" xfId="0" applyNumberFormat="1" applyFont="1" applyFill="1" applyBorder="1" applyAlignment="1">
      <alignment horizontal="center" vertical="center" wrapText="1"/>
    </xf>
    <xf numFmtId="3" fontId="64" fillId="37" borderId="12" xfId="0" applyNumberFormat="1" applyFont="1" applyFill="1" applyBorder="1" applyAlignment="1">
      <alignment vertical="center" wrapText="1"/>
    </xf>
    <xf numFmtId="3" fontId="64" fillId="38" borderId="41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/>
    <xf numFmtId="3" fontId="8" fillId="0" borderId="147" xfId="0" applyNumberFormat="1" applyFont="1" applyBorder="1"/>
    <xf numFmtId="0" fontId="36" fillId="0" borderId="0" xfId="0" applyFont="1" applyAlignment="1">
      <alignment horizontal="center" vertical="center"/>
    </xf>
    <xf numFmtId="0" fontId="8" fillId="0" borderId="0" xfId="0" applyFont="1" applyBorder="1" applyAlignment="1">
      <alignment wrapText="1"/>
    </xf>
    <xf numFmtId="0" fontId="3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/>
    <xf numFmtId="0" fontId="8" fillId="0" borderId="3" xfId="0" applyFont="1" applyFill="1" applyBorder="1"/>
    <xf numFmtId="0" fontId="8" fillId="0" borderId="26" xfId="0" applyFont="1" applyBorder="1" applyAlignment="1">
      <alignment horizontal="center" vertical="center"/>
    </xf>
    <xf numFmtId="0" fontId="8" fillId="0" borderId="0" xfId="0" applyFont="1" applyFill="1" applyBorder="1"/>
    <xf numFmtId="0" fontId="8" fillId="0" borderId="68" xfId="0" applyFont="1" applyBorder="1" applyAlignment="1">
      <alignment horizontal="center" vertical="center"/>
    </xf>
    <xf numFmtId="0" fontId="6" fillId="0" borderId="24" xfId="0" applyFont="1" applyBorder="1"/>
    <xf numFmtId="0" fontId="8" fillId="0" borderId="24" xfId="0" applyFont="1" applyFill="1" applyBorder="1"/>
    <xf numFmtId="3" fontId="18" fillId="56" borderId="0" xfId="0" applyNumberFormat="1" applyFont="1" applyFill="1" applyBorder="1" applyAlignment="1">
      <alignment vertical="top"/>
    </xf>
    <xf numFmtId="3" fontId="62" fillId="0" borderId="0" xfId="0" applyNumberFormat="1" applyFont="1" applyBorder="1" applyAlignment="1">
      <alignment vertical="center"/>
    </xf>
    <xf numFmtId="0" fontId="62" fillId="0" borderId="0" xfId="0" applyFont="1" applyBorder="1" applyAlignment="1">
      <alignment vertical="center"/>
    </xf>
    <xf numFmtId="164" fontId="77" fillId="2" borderId="0" xfId="0" applyNumberFormat="1" applyFont="1" applyFill="1" applyBorder="1" applyAlignment="1">
      <alignment vertical="center" wrapText="1"/>
    </xf>
    <xf numFmtId="3" fontId="77" fillId="2" borderId="0" xfId="0" applyNumberFormat="1" applyFont="1" applyFill="1" applyAlignment="1">
      <alignment vertical="center" wrapText="1"/>
    </xf>
    <xf numFmtId="0" fontId="77" fillId="2" borderId="0" xfId="0" applyFont="1" applyFill="1" applyBorder="1" applyAlignment="1">
      <alignment vertical="center" wrapText="1"/>
    </xf>
    <xf numFmtId="3" fontId="31" fillId="8" borderId="171" xfId="4" applyNumberFormat="1" applyFont="1" applyFill="1" applyBorder="1" applyAlignment="1">
      <alignment horizontal="right" vertical="center"/>
    </xf>
    <xf numFmtId="0" fontId="24" fillId="2" borderId="0" xfId="4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horizontal="left" vertical="center"/>
    </xf>
    <xf numFmtId="3" fontId="31" fillId="0" borderId="0" xfId="4" applyNumberFormat="1" applyFont="1" applyFill="1" applyBorder="1" applyAlignment="1">
      <alignment vertical="center"/>
    </xf>
    <xf numFmtId="43" fontId="31" fillId="0" borderId="0" xfId="1" applyFont="1" applyFill="1" applyBorder="1" applyAlignment="1">
      <alignment horizontal="right" vertical="center"/>
    </xf>
    <xf numFmtId="3" fontId="7" fillId="8" borderId="181" xfId="4" applyNumberFormat="1" applyFont="1" applyFill="1" applyBorder="1" applyAlignment="1">
      <alignment vertical="center" wrapText="1"/>
    </xf>
    <xf numFmtId="3" fontId="7" fillId="8" borderId="176" xfId="0" applyNumberFormat="1" applyFont="1" applyFill="1" applyBorder="1" applyAlignment="1">
      <alignment vertical="center"/>
    </xf>
    <xf numFmtId="3" fontId="7" fillId="8" borderId="183" xfId="0" applyNumberFormat="1" applyFont="1" applyFill="1" applyBorder="1" applyAlignment="1">
      <alignment vertical="center"/>
    </xf>
    <xf numFmtId="3" fontId="31" fillId="23" borderId="183" xfId="4" applyNumberFormat="1" applyFont="1" applyFill="1" applyBorder="1" applyAlignment="1">
      <alignment vertical="center"/>
    </xf>
    <xf numFmtId="3" fontId="24" fillId="6" borderId="30" xfId="1" applyNumberFormat="1" applyFont="1" applyFill="1" applyBorder="1" applyAlignment="1">
      <alignment vertical="center"/>
    </xf>
    <xf numFmtId="43" fontId="23" fillId="6" borderId="9" xfId="1" applyFont="1" applyFill="1" applyBorder="1" applyAlignment="1">
      <alignment horizontal="right" vertical="center"/>
    </xf>
    <xf numFmtId="43" fontId="6" fillId="0" borderId="47" xfId="1" applyFont="1" applyFill="1" applyBorder="1" applyAlignment="1">
      <alignment vertical="center" wrapText="1"/>
    </xf>
    <xf numFmtId="43" fontId="64" fillId="6" borderId="30" xfId="1" applyFont="1" applyFill="1" applyBorder="1" applyAlignment="1">
      <alignment vertical="center" wrapText="1"/>
    </xf>
    <xf numFmtId="3" fontId="8" fillId="0" borderId="131" xfId="0" applyNumberFormat="1" applyFont="1" applyFill="1" applyBorder="1" applyAlignment="1">
      <alignment vertical="center" wrapText="1"/>
    </xf>
    <xf numFmtId="3" fontId="83" fillId="0" borderId="0" xfId="0" applyNumberFormat="1" applyFont="1" applyFill="1" applyAlignment="1">
      <alignment vertical="center"/>
    </xf>
    <xf numFmtId="3" fontId="24" fillId="6" borderId="183" xfId="0" applyNumberFormat="1" applyFont="1" applyFill="1" applyBorder="1" applyAlignment="1">
      <alignment horizontal="right" vertical="center"/>
    </xf>
    <xf numFmtId="3" fontId="24" fillId="22" borderId="183" xfId="4" applyNumberFormat="1" applyFont="1" applyFill="1" applyBorder="1" applyAlignment="1">
      <alignment horizontal="right" vertical="center"/>
    </xf>
    <xf numFmtId="3" fontId="29" fillId="0" borderId="183" xfId="0" applyNumberFormat="1" applyFont="1" applyFill="1" applyBorder="1" applyAlignment="1">
      <alignment horizontal="right" vertical="center"/>
    </xf>
    <xf numFmtId="3" fontId="7" fillId="0" borderId="183" xfId="0" applyNumberFormat="1" applyFont="1" applyFill="1" applyBorder="1" applyAlignment="1">
      <alignment horizontal="right" vertical="center"/>
    </xf>
    <xf numFmtId="0" fontId="7" fillId="32" borderId="25" xfId="4" applyFont="1" applyFill="1" applyBorder="1" applyAlignment="1">
      <alignment horizontal="left" vertical="center"/>
    </xf>
    <xf numFmtId="3" fontId="25" fillId="6" borderId="172" xfId="0" applyNumberFormat="1" applyFont="1" applyFill="1" applyBorder="1" applyAlignment="1">
      <alignment vertical="center"/>
    </xf>
    <xf numFmtId="3" fontId="31" fillId="25" borderId="183" xfId="0" applyNumberFormat="1" applyFont="1" applyFill="1" applyBorder="1" applyAlignment="1">
      <alignment vertical="top"/>
    </xf>
    <xf numFmtId="0" fontId="65" fillId="58" borderId="135" xfId="0" applyFont="1" applyFill="1" applyBorder="1"/>
    <xf numFmtId="0" fontId="8" fillId="0" borderId="176" xfId="0" applyFont="1" applyFill="1" applyBorder="1" applyAlignment="1">
      <alignment vertical="center" wrapText="1"/>
    </xf>
    <xf numFmtId="0" fontId="31" fillId="55" borderId="135" xfId="4" applyFont="1" applyFill="1" applyBorder="1" applyAlignment="1">
      <alignment horizontal="left" vertical="center"/>
    </xf>
    <xf numFmtId="0" fontId="65" fillId="56" borderId="135" xfId="0" applyFont="1" applyFill="1" applyBorder="1" applyAlignment="1">
      <alignment vertical="center"/>
    </xf>
    <xf numFmtId="3" fontId="25" fillId="22" borderId="172" xfId="0" applyNumberFormat="1" applyFont="1" applyFill="1" applyBorder="1" applyAlignment="1">
      <alignment vertical="center"/>
    </xf>
    <xf numFmtId="43" fontId="24" fillId="6" borderId="171" xfId="1" applyFont="1" applyFill="1" applyBorder="1" applyAlignment="1"/>
    <xf numFmtId="3" fontId="31" fillId="0" borderId="188" xfId="4" applyNumberFormat="1" applyFont="1" applyFill="1" applyBorder="1" applyAlignment="1">
      <alignment vertical="center"/>
    </xf>
    <xf numFmtId="3" fontId="24" fillId="6" borderId="65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27" fillId="0" borderId="109" xfId="4" applyNumberFormat="1" applyFont="1" applyFill="1" applyBorder="1" applyAlignment="1">
      <alignment horizontal="right" vertical="center"/>
    </xf>
    <xf numFmtId="3" fontId="7" fillId="0" borderId="117" xfId="4" applyNumberFormat="1" applyFont="1" applyFill="1" applyBorder="1" applyAlignment="1">
      <alignment horizontal="right" vertical="center"/>
    </xf>
    <xf numFmtId="3" fontId="7" fillId="0" borderId="118" xfId="4" applyNumberFormat="1" applyFont="1" applyFill="1" applyBorder="1" applyAlignment="1">
      <alignment horizontal="right" vertical="center"/>
    </xf>
    <xf numFmtId="3" fontId="31" fillId="0" borderId="118" xfId="4" applyNumberFormat="1" applyFont="1" applyFill="1" applyBorder="1" applyAlignment="1">
      <alignment horizontal="right" vertical="center"/>
    </xf>
    <xf numFmtId="3" fontId="33" fillId="0" borderId="118" xfId="6" applyNumberFormat="1" applyFont="1" applyFill="1" applyBorder="1" applyAlignment="1">
      <alignment vertical="center"/>
    </xf>
    <xf numFmtId="3" fontId="33" fillId="0" borderId="117" xfId="6" applyNumberFormat="1" applyFont="1" applyFill="1" applyBorder="1" applyAlignment="1">
      <alignment vertical="center"/>
    </xf>
    <xf numFmtId="3" fontId="32" fillId="0" borderId="117" xfId="6" applyNumberFormat="1" applyFont="1" applyFill="1" applyBorder="1" applyAlignment="1">
      <alignment vertical="center"/>
    </xf>
    <xf numFmtId="3" fontId="27" fillId="2" borderId="117" xfId="4" applyNumberFormat="1" applyFont="1" applyFill="1" applyBorder="1" applyAlignment="1">
      <alignment vertical="center"/>
    </xf>
    <xf numFmtId="3" fontId="29" fillId="2" borderId="177" xfId="4" applyNumberFormat="1" applyFont="1" applyFill="1" applyBorder="1" applyAlignment="1">
      <alignment vertical="center" wrapText="1"/>
    </xf>
    <xf numFmtId="0" fontId="7" fillId="0" borderId="115" xfId="4" applyFont="1" applyFill="1" applyBorder="1" applyAlignment="1">
      <alignment vertical="center"/>
    </xf>
    <xf numFmtId="3" fontId="32" fillId="0" borderId="74" xfId="6" applyNumberFormat="1" applyFont="1" applyFill="1" applyBorder="1" applyAlignment="1">
      <alignment vertical="center"/>
    </xf>
    <xf numFmtId="3" fontId="25" fillId="23" borderId="2" xfId="4" applyNumberFormat="1" applyFont="1" applyFill="1" applyBorder="1" applyAlignment="1">
      <alignment horizontal="right" vertical="center"/>
    </xf>
    <xf numFmtId="3" fontId="25" fillId="6" borderId="132" xfId="4" applyNumberFormat="1" applyFont="1" applyFill="1" applyBorder="1" applyAlignment="1">
      <alignment horizontal="right" vertical="center"/>
    </xf>
    <xf numFmtId="3" fontId="25" fillId="22" borderId="129" xfId="4" applyNumberFormat="1" applyFont="1" applyFill="1" applyBorder="1" applyAlignment="1">
      <alignment horizontal="right" vertical="center"/>
    </xf>
    <xf numFmtId="3" fontId="27" fillId="0" borderId="132" xfId="4" applyNumberFormat="1" applyFont="1" applyFill="1" applyBorder="1" applyAlignment="1">
      <alignment horizontal="right" vertical="center"/>
    </xf>
    <xf numFmtId="3" fontId="27" fillId="25" borderId="129" xfId="4" applyNumberFormat="1" applyFont="1" applyFill="1" applyBorder="1" applyAlignment="1">
      <alignment horizontal="right" vertical="center"/>
    </xf>
    <xf numFmtId="3" fontId="7" fillId="0" borderId="129" xfId="4" applyNumberFormat="1" applyFont="1" applyFill="1" applyBorder="1" applyAlignment="1">
      <alignment horizontal="right" vertical="center"/>
    </xf>
    <xf numFmtId="3" fontId="7" fillId="0" borderId="132" xfId="4" applyNumberFormat="1" applyFont="1" applyFill="1" applyBorder="1" applyAlignment="1">
      <alignment horizontal="right" vertical="center"/>
    </xf>
    <xf numFmtId="3" fontId="33" fillId="0" borderId="132" xfId="6" applyNumberFormat="1" applyFont="1" applyFill="1" applyBorder="1" applyAlignment="1">
      <alignment vertical="center"/>
    </xf>
    <xf numFmtId="0" fontId="7" fillId="0" borderId="124" xfId="4" applyFont="1" applyFill="1" applyBorder="1" applyAlignment="1">
      <alignment vertical="center"/>
    </xf>
    <xf numFmtId="3" fontId="24" fillId="6" borderId="132" xfId="4" applyNumberFormat="1" applyFont="1" applyFill="1" applyBorder="1" applyAlignment="1">
      <alignment vertical="center"/>
    </xf>
    <xf numFmtId="3" fontId="29" fillId="2" borderId="132" xfId="4" applyNumberFormat="1" applyFont="1" applyFill="1" applyBorder="1" applyAlignment="1">
      <alignment vertical="center"/>
    </xf>
    <xf numFmtId="3" fontId="27" fillId="2" borderId="132" xfId="4" applyNumberFormat="1" applyFont="1" applyFill="1" applyBorder="1" applyAlignment="1">
      <alignment vertical="center"/>
    </xf>
    <xf numFmtId="3" fontId="7" fillId="2" borderId="74" xfId="4" applyNumberFormat="1" applyFont="1" applyFill="1" applyBorder="1" applyAlignment="1">
      <alignment vertical="center"/>
    </xf>
    <xf numFmtId="0" fontId="25" fillId="6" borderId="28" xfId="4" applyFont="1" applyFill="1" applyBorder="1" applyAlignment="1">
      <alignment horizontal="center" vertical="center"/>
    </xf>
    <xf numFmtId="0" fontId="7" fillId="0" borderId="114" xfId="4" applyFont="1" applyFill="1" applyBorder="1" applyAlignment="1">
      <alignment vertical="center"/>
    </xf>
    <xf numFmtId="0" fontId="27" fillId="2" borderId="114" xfId="4" applyFont="1" applyFill="1" applyBorder="1" applyAlignment="1">
      <alignment vertical="center"/>
    </xf>
    <xf numFmtId="43" fontId="7" fillId="0" borderId="103" xfId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horizontal="left" vertical="center"/>
    </xf>
    <xf numFmtId="3" fontId="7" fillId="0" borderId="47" xfId="4" applyNumberFormat="1" applyFont="1" applyFill="1" applyBorder="1" applyAlignment="1">
      <alignment vertical="center"/>
    </xf>
    <xf numFmtId="0" fontId="31" fillId="0" borderId="177" xfId="4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3" fontId="25" fillId="6" borderId="117" xfId="4" applyNumberFormat="1" applyFont="1" applyFill="1" applyBorder="1" applyAlignment="1">
      <alignment horizontal="right" vertical="center"/>
    </xf>
    <xf numFmtId="3" fontId="31" fillId="0" borderId="118" xfId="4" applyNumberFormat="1" applyFont="1" applyFill="1" applyBorder="1" applyAlignment="1">
      <alignment vertical="center"/>
    </xf>
    <xf numFmtId="43" fontId="7" fillId="0" borderId="119" xfId="1" applyFont="1" applyFill="1" applyBorder="1" applyAlignment="1">
      <alignment horizontal="right" vertical="center"/>
    </xf>
    <xf numFmtId="3" fontId="31" fillId="0" borderId="182" xfId="4" applyNumberFormat="1" applyFont="1" applyFill="1" applyBorder="1" applyAlignment="1">
      <alignment horizontal="right" vertical="center"/>
    </xf>
    <xf numFmtId="0" fontId="24" fillId="6" borderId="176" xfId="4" applyFont="1" applyFill="1" applyBorder="1" applyAlignment="1">
      <alignment horizontal="left" vertical="center"/>
    </xf>
    <xf numFmtId="3" fontId="29" fillId="2" borderId="9" xfId="4" applyNumberFormat="1" applyFont="1" applyFill="1" applyBorder="1" applyAlignment="1">
      <alignment vertical="center"/>
    </xf>
    <xf numFmtId="3" fontId="8" fillId="0" borderId="131" xfId="4" applyNumberFormat="1" applyFont="1" applyFill="1" applyBorder="1" applyAlignment="1">
      <alignment horizontal="right" vertical="center"/>
    </xf>
    <xf numFmtId="3" fontId="8" fillId="0" borderId="149" xfId="4" applyNumberFormat="1" applyFont="1" applyFill="1" applyBorder="1" applyAlignment="1">
      <alignment horizontal="right" vertical="center"/>
    </xf>
    <xf numFmtId="0" fontId="31" fillId="0" borderId="135" xfId="4" applyFont="1" applyFill="1" applyBorder="1" applyAlignment="1">
      <alignment horizontal="left" vertical="center"/>
    </xf>
    <xf numFmtId="3" fontId="23" fillId="6" borderId="93" xfId="6" applyNumberFormat="1" applyFont="1" applyFill="1" applyBorder="1" applyAlignment="1">
      <alignment horizontal="right" vertical="center"/>
    </xf>
    <xf numFmtId="3" fontId="33" fillId="0" borderId="93" xfId="6" applyNumberFormat="1" applyFont="1" applyFill="1" applyBorder="1" applyAlignment="1">
      <alignment horizontal="right" vertical="center"/>
    </xf>
    <xf numFmtId="3" fontId="31" fillId="0" borderId="93" xfId="4" applyNumberFormat="1" applyFont="1" applyFill="1" applyBorder="1" applyAlignment="1">
      <alignment horizontal="righ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23" fillId="6" borderId="91" xfId="6" applyNumberFormat="1" applyFont="1" applyFill="1" applyBorder="1" applyAlignment="1">
      <alignment horizontal="right" vertical="center"/>
    </xf>
    <xf numFmtId="3" fontId="31" fillId="2" borderId="99" xfId="4" applyNumberFormat="1" applyFont="1" applyFill="1" applyBorder="1" applyAlignment="1">
      <alignment vertical="center" wrapText="1"/>
    </xf>
    <xf numFmtId="3" fontId="23" fillId="6" borderId="9" xfId="6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vertical="center"/>
    </xf>
    <xf numFmtId="3" fontId="31" fillId="25" borderId="9" xfId="4" applyNumberFormat="1" applyFont="1" applyFill="1" applyBorder="1" applyAlignment="1">
      <alignment horizontal="right" vertical="center"/>
    </xf>
    <xf numFmtId="3" fontId="31" fillId="0" borderId="149" xfId="4" applyNumberFormat="1" applyFont="1" applyFill="1" applyBorder="1" applyAlignment="1">
      <alignment horizontal="right" vertical="center"/>
    </xf>
    <xf numFmtId="3" fontId="0" fillId="0" borderId="139" xfId="0" applyNumberFormat="1" applyFont="1" applyBorder="1" applyAlignment="1">
      <alignment vertical="center"/>
    </xf>
    <xf numFmtId="3" fontId="0" fillId="0" borderId="104" xfId="0" applyNumberFormat="1" applyFont="1" applyBorder="1" applyAlignment="1">
      <alignment vertical="center"/>
    </xf>
    <xf numFmtId="3" fontId="29" fillId="2" borderId="171" xfId="4" applyNumberFormat="1" applyFont="1" applyFill="1" applyBorder="1" applyAlignment="1">
      <alignment vertical="center" wrapText="1"/>
    </xf>
    <xf numFmtId="0" fontId="28" fillId="0" borderId="171" xfId="4" applyFont="1" applyFill="1" applyBorder="1" applyAlignment="1">
      <alignment vertical="center"/>
    </xf>
    <xf numFmtId="43" fontId="28" fillId="0" borderId="171" xfId="1" applyFont="1" applyFill="1" applyBorder="1" applyAlignment="1">
      <alignment horizontal="right" vertical="center"/>
    </xf>
    <xf numFmtId="3" fontId="28" fillId="0" borderId="171" xfId="4" applyNumberFormat="1" applyFont="1" applyFill="1" applyBorder="1" applyAlignment="1">
      <alignment horizontal="right" vertical="center"/>
    </xf>
    <xf numFmtId="0" fontId="0" fillId="0" borderId="129" xfId="0" applyFont="1" applyBorder="1" applyAlignment="1">
      <alignment vertical="center"/>
    </xf>
    <xf numFmtId="3" fontId="28" fillId="25" borderId="171" xfId="4" applyNumberFormat="1" applyFont="1" applyFill="1" applyBorder="1" applyAlignment="1">
      <alignment horizontal="right" vertical="center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43" fontId="31" fillId="0" borderId="172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0" fontId="31" fillId="0" borderId="21" xfId="0" applyFont="1" applyFill="1" applyBorder="1" applyAlignment="1">
      <alignment horizontal="left" vertical="center" wrapText="1"/>
    </xf>
    <xf numFmtId="43" fontId="31" fillId="0" borderId="148" xfId="1" applyFont="1" applyFill="1" applyBorder="1" applyAlignment="1">
      <alignment vertical="top"/>
    </xf>
    <xf numFmtId="3" fontId="25" fillId="25" borderId="188" xfId="0" applyNumberFormat="1" applyFont="1" applyFill="1" applyBorder="1" applyAlignment="1">
      <alignment vertical="top"/>
    </xf>
    <xf numFmtId="3" fontId="25" fillId="25" borderId="10" xfId="0" applyNumberFormat="1" applyFont="1" applyFill="1" applyBorder="1" applyAlignment="1">
      <alignment vertical="top"/>
    </xf>
    <xf numFmtId="43" fontId="31" fillId="0" borderId="91" xfId="1" applyFont="1" applyFill="1" applyBorder="1" applyAlignment="1">
      <alignment vertical="top"/>
    </xf>
    <xf numFmtId="0" fontId="31" fillId="6" borderId="106" xfId="0" applyFont="1" applyFill="1" applyBorder="1" applyAlignment="1">
      <alignment vertical="top"/>
    </xf>
    <xf numFmtId="0" fontId="31" fillId="0" borderId="108" xfId="0" applyFont="1" applyFill="1" applyBorder="1" applyAlignment="1">
      <alignment horizontal="left" vertical="center" wrapText="1"/>
    </xf>
    <xf numFmtId="0" fontId="7" fillId="6" borderId="106" xfId="0" applyFont="1" applyFill="1" applyBorder="1" applyAlignment="1">
      <alignment horizontal="left" vertical="center" wrapText="1"/>
    </xf>
    <xf numFmtId="3" fontId="27" fillId="2" borderId="116" xfId="4" applyNumberFormat="1" applyFont="1" applyFill="1" applyBorder="1" applyAlignment="1">
      <alignment vertical="center" wrapText="1"/>
    </xf>
    <xf numFmtId="0" fontId="27" fillId="2" borderId="110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7" fillId="23" borderId="70" xfId="0" applyFont="1" applyFill="1" applyBorder="1" applyAlignment="1">
      <alignment vertical="top"/>
    </xf>
    <xf numFmtId="0" fontId="71" fillId="6" borderId="178" xfId="4" applyFont="1" applyFill="1" applyBorder="1" applyAlignment="1">
      <alignment horizontal="left"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71" xfId="0" applyNumberFormat="1" applyFont="1" applyFill="1" applyBorder="1" applyAlignment="1">
      <alignment vertical="center"/>
    </xf>
    <xf numFmtId="3" fontId="29" fillId="25" borderId="171" xfId="0" applyNumberFormat="1" applyFont="1" applyFill="1" applyBorder="1" applyAlignment="1">
      <alignment vertical="top"/>
    </xf>
    <xf numFmtId="0" fontId="8" fillId="0" borderId="135" xfId="0" applyFont="1" applyFill="1" applyBorder="1" applyAlignment="1">
      <alignment vertical="center" wrapText="1"/>
    </xf>
    <xf numFmtId="3" fontId="40" fillId="0" borderId="171" xfId="0" applyNumberFormat="1" applyFont="1" applyFill="1" applyBorder="1" applyAlignment="1">
      <alignment vertical="center"/>
    </xf>
    <xf numFmtId="3" fontId="7" fillId="0" borderId="172" xfId="4" applyNumberFormat="1" applyFont="1" applyFill="1" applyBorder="1" applyAlignment="1">
      <alignment vertical="center"/>
    </xf>
    <xf numFmtId="0" fontId="29" fillId="2" borderId="135" xfId="4" applyFont="1" applyFill="1" applyBorder="1" applyAlignment="1">
      <alignment vertical="top"/>
    </xf>
    <xf numFmtId="3" fontId="29" fillId="0" borderId="171" xfId="0" applyNumberFormat="1" applyFont="1" applyFill="1" applyBorder="1" applyAlignment="1">
      <alignment horizontal="right" vertical="center"/>
    </xf>
    <xf numFmtId="3" fontId="40" fillId="22" borderId="171" xfId="0" applyNumberFormat="1" applyFont="1" applyFill="1" applyBorder="1" applyAlignment="1">
      <alignment horizontal="right" vertical="center"/>
    </xf>
    <xf numFmtId="3" fontId="40" fillId="0" borderId="182" xfId="0" applyNumberFormat="1" applyFont="1" applyFill="1" applyBorder="1" applyAlignment="1">
      <alignment vertical="center"/>
    </xf>
    <xf numFmtId="3" fontId="7" fillId="0" borderId="171" xfId="0" applyNumberFormat="1" applyFont="1" applyFill="1" applyBorder="1" applyAlignment="1">
      <alignment vertical="center"/>
    </xf>
    <xf numFmtId="3" fontId="40" fillId="0" borderId="131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0" fontId="7" fillId="0" borderId="77" xfId="0" applyFont="1" applyFill="1" applyBorder="1" applyAlignment="1">
      <alignment vertical="center" wrapText="1"/>
    </xf>
    <xf numFmtId="0" fontId="19" fillId="0" borderId="68" xfId="4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0" fontId="25" fillId="8" borderId="21" xfId="0" applyFont="1" applyFill="1" applyBorder="1" applyAlignment="1">
      <alignment vertical="center" wrapText="1"/>
    </xf>
    <xf numFmtId="0" fontId="25" fillId="8" borderId="85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3" fontId="31" fillId="8" borderId="8" xfId="0" applyNumberFormat="1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7" fillId="23" borderId="35" xfId="0" applyFont="1" applyFill="1" applyBorder="1" applyAlignment="1">
      <alignment vertical="top"/>
    </xf>
    <xf numFmtId="0" fontId="64" fillId="6" borderId="20" xfId="4" applyFont="1" applyFill="1" applyBorder="1" applyAlignment="1">
      <alignment horizontal="left" vertical="center"/>
    </xf>
    <xf numFmtId="3" fontId="25" fillId="6" borderId="35" xfId="0" applyNumberFormat="1" applyFont="1" applyFill="1" applyBorder="1" applyAlignment="1">
      <alignment vertical="center"/>
    </xf>
    <xf numFmtId="3" fontId="27" fillId="0" borderId="91" xfId="0" applyNumberFormat="1" applyFont="1" applyFill="1" applyBorder="1" applyAlignment="1">
      <alignment vertical="center"/>
    </xf>
    <xf numFmtId="0" fontId="8" fillId="0" borderId="21" xfId="4" applyFont="1" applyFill="1" applyBorder="1" applyAlignment="1">
      <alignment vertical="center" wrapText="1"/>
    </xf>
    <xf numFmtId="3" fontId="31" fillId="0" borderId="91" xfId="0" applyNumberFormat="1" applyFont="1" applyFill="1" applyBorder="1" applyAlignment="1">
      <alignment vertical="center"/>
    </xf>
    <xf numFmtId="3" fontId="31" fillId="0" borderId="102" xfId="0" applyNumberFormat="1" applyFont="1" applyFill="1" applyBorder="1" applyAlignment="1">
      <alignment vertical="center"/>
    </xf>
    <xf numFmtId="3" fontId="31" fillId="22" borderId="35" xfId="0" applyNumberFormat="1" applyFont="1" applyFill="1" applyBorder="1" applyAlignment="1">
      <alignment vertical="center"/>
    </xf>
    <xf numFmtId="3" fontId="28" fillId="0" borderId="91" xfId="0" applyNumberFormat="1" applyFont="1" applyFill="1" applyBorder="1" applyAlignment="1">
      <alignment vertical="center"/>
    </xf>
    <xf numFmtId="3" fontId="28" fillId="0" borderId="93" xfId="0" applyNumberFormat="1" applyFont="1" applyFill="1" applyBorder="1" applyAlignment="1">
      <alignment vertical="top"/>
    </xf>
    <xf numFmtId="3" fontId="28" fillId="0" borderId="102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5" fillId="6" borderId="105" xfId="0" applyNumberFormat="1" applyFont="1" applyFill="1" applyBorder="1" applyAlignment="1">
      <alignment vertical="center"/>
    </xf>
    <xf numFmtId="3" fontId="27" fillId="0" borderId="104" xfId="0" applyNumberFormat="1" applyFont="1" applyFill="1" applyBorder="1" applyAlignment="1">
      <alignment vertical="center"/>
    </xf>
    <xf numFmtId="3" fontId="27" fillId="0" borderId="104" xfId="0" applyNumberFormat="1" applyFont="1" applyFill="1" applyBorder="1" applyAlignment="1">
      <alignment vertical="top"/>
    </xf>
    <xf numFmtId="3" fontId="31" fillId="0" borderId="104" xfId="0" applyNumberFormat="1" applyFont="1" applyFill="1" applyBorder="1" applyAlignment="1">
      <alignment vertical="center"/>
    </xf>
    <xf numFmtId="3" fontId="28" fillId="0" borderId="104" xfId="0" applyNumberFormat="1" applyFont="1" applyFill="1" applyBorder="1" applyAlignment="1">
      <alignment vertical="center"/>
    </xf>
    <xf numFmtId="3" fontId="25" fillId="0" borderId="104" xfId="0" applyNumberFormat="1" applyFont="1" applyFill="1" applyBorder="1" applyAlignment="1">
      <alignment vertical="center"/>
    </xf>
    <xf numFmtId="3" fontId="25" fillId="0" borderId="104" xfId="0" applyNumberFormat="1" applyFont="1" applyFill="1" applyBorder="1" applyAlignment="1">
      <alignment vertical="top"/>
    </xf>
    <xf numFmtId="0" fontId="7" fillId="0" borderId="108" xfId="0" applyFont="1" applyFill="1" applyBorder="1" applyAlignment="1">
      <alignment vertical="center" wrapText="1"/>
    </xf>
    <xf numFmtId="3" fontId="28" fillId="0" borderId="103" xfId="0" applyNumberFormat="1" applyFont="1" applyFill="1" applyBorder="1" applyAlignment="1">
      <alignment vertical="center"/>
    </xf>
    <xf numFmtId="3" fontId="28" fillId="0" borderId="103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16" xfId="0" applyFont="1" applyFill="1" applyBorder="1" applyAlignment="1">
      <alignment horizontal="center" vertical="center" wrapText="1"/>
    </xf>
    <xf numFmtId="3" fontId="7" fillId="8" borderId="113" xfId="0" applyNumberFormat="1" applyFont="1" applyFill="1" applyBorder="1" applyAlignment="1">
      <alignment vertical="top"/>
    </xf>
    <xf numFmtId="0" fontId="7" fillId="8" borderId="110" xfId="0" applyFont="1" applyFill="1" applyBorder="1" applyAlignment="1">
      <alignment vertical="top"/>
    </xf>
    <xf numFmtId="3" fontId="7" fillId="8" borderId="110" xfId="0" applyNumberFormat="1" applyFont="1" applyFill="1" applyBorder="1" applyAlignment="1">
      <alignment vertical="top"/>
    </xf>
    <xf numFmtId="0" fontId="7" fillId="8" borderId="105" xfId="0" applyFont="1" applyFill="1" applyBorder="1" applyAlignment="1">
      <alignment vertical="top"/>
    </xf>
    <xf numFmtId="3" fontId="24" fillId="22" borderId="104" xfId="0" applyNumberFormat="1" applyFont="1" applyFill="1" applyBorder="1" applyAlignment="1">
      <alignment horizontal="center" vertical="center"/>
    </xf>
    <xf numFmtId="0" fontId="71" fillId="6" borderId="106" xfId="4" applyFont="1" applyFill="1" applyBorder="1" applyAlignment="1">
      <alignment horizontal="left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104" xfId="0" applyNumberFormat="1" applyFont="1" applyFill="1" applyBorder="1" applyAlignment="1">
      <alignment vertical="center"/>
    </xf>
    <xf numFmtId="3" fontId="29" fillId="0" borderId="104" xfId="0" applyNumberFormat="1" applyFont="1" applyFill="1" applyBorder="1" applyAlignment="1">
      <alignment vertical="top"/>
    </xf>
    <xf numFmtId="3" fontId="24" fillId="22" borderId="104" xfId="0" applyNumberFormat="1" applyFont="1" applyFill="1" applyBorder="1" applyAlignment="1">
      <alignment horizontal="right" vertical="center"/>
    </xf>
    <xf numFmtId="3" fontId="7" fillId="0" borderId="104" xfId="0" applyNumberFormat="1" applyFont="1" applyFill="1" applyBorder="1" applyAlignment="1">
      <alignment vertical="center"/>
    </xf>
    <xf numFmtId="3" fontId="7" fillId="0" borderId="104" xfId="0" applyNumberFormat="1" applyFont="1" applyFill="1" applyBorder="1" applyAlignment="1">
      <alignment vertical="top"/>
    </xf>
    <xf numFmtId="3" fontId="7" fillId="22" borderId="104" xfId="0" applyNumberFormat="1" applyFont="1" applyFill="1" applyBorder="1" applyAlignment="1">
      <alignment horizontal="right" vertical="center"/>
    </xf>
    <xf numFmtId="3" fontId="40" fillId="0" borderId="104" xfId="0" applyNumberFormat="1" applyFont="1" applyFill="1" applyBorder="1" applyAlignment="1">
      <alignment vertical="center"/>
    </xf>
    <xf numFmtId="3" fontId="40" fillId="0" borderId="104" xfId="0" applyNumberFormat="1" applyFont="1" applyFill="1" applyBorder="1" applyAlignment="1">
      <alignment vertical="top"/>
    </xf>
    <xf numFmtId="3" fontId="40" fillId="22" borderId="104" xfId="0" applyNumberFormat="1" applyFont="1" applyFill="1" applyBorder="1" applyAlignment="1">
      <alignment horizontal="right" vertical="center"/>
    </xf>
    <xf numFmtId="0" fontId="17" fillId="0" borderId="26" xfId="0" applyFont="1" applyFill="1" applyBorder="1" applyAlignment="1">
      <alignment horizontal="center" vertical="center"/>
    </xf>
    <xf numFmtId="3" fontId="31" fillId="8" borderId="113" xfId="0" applyNumberFormat="1" applyFont="1" applyFill="1" applyBorder="1" applyAlignment="1">
      <alignment vertical="top"/>
    </xf>
    <xf numFmtId="0" fontId="31" fillId="8" borderId="110" xfId="0" applyFont="1" applyFill="1" applyBorder="1" applyAlignment="1">
      <alignment vertical="top"/>
    </xf>
    <xf numFmtId="3" fontId="31" fillId="8" borderId="110" xfId="0" applyNumberFormat="1" applyFont="1" applyFill="1" applyBorder="1" applyAlignment="1">
      <alignment vertical="top"/>
    </xf>
    <xf numFmtId="0" fontId="31" fillId="8" borderId="105" xfId="0" applyFont="1" applyFill="1" applyBorder="1" applyAlignment="1">
      <alignment vertical="top"/>
    </xf>
    <xf numFmtId="3" fontId="25" fillId="22" borderId="104" xfId="0" applyNumberFormat="1" applyFont="1" applyFill="1" applyBorder="1" applyAlignment="1">
      <alignment horizontal="center" vertical="center"/>
    </xf>
    <xf numFmtId="0" fontId="64" fillId="6" borderId="106" xfId="4" applyFont="1" applyFill="1" applyBorder="1" applyAlignment="1">
      <alignment horizontal="left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7" fillId="2" borderId="21" xfId="4" applyNumberFormat="1" applyFont="1" applyFill="1" applyBorder="1" applyAlignment="1">
      <alignment vertical="center" wrapText="1"/>
    </xf>
    <xf numFmtId="3" fontId="25" fillId="22" borderId="104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3" fontId="28" fillId="0" borderId="104" xfId="0" applyNumberFormat="1" applyFont="1" applyFill="1" applyBorder="1" applyAlignment="1">
      <alignment vertical="top"/>
    </xf>
    <xf numFmtId="3" fontId="28" fillId="22" borderId="104" xfId="0" applyNumberFormat="1" applyFont="1" applyFill="1" applyBorder="1" applyAlignment="1">
      <alignment horizontal="right" vertical="center"/>
    </xf>
    <xf numFmtId="3" fontId="31" fillId="22" borderId="104" xfId="0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vertical="center" wrapText="1"/>
    </xf>
    <xf numFmtId="3" fontId="31" fillId="0" borderId="47" xfId="0" applyNumberFormat="1" applyFont="1" applyFill="1" applyBorder="1" applyAlignment="1">
      <alignment vertical="center"/>
    </xf>
    <xf numFmtId="0" fontId="17" fillId="0" borderId="68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4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0" fontId="25" fillId="8" borderId="20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64" fillId="6" borderId="28" xfId="4" applyFont="1" applyFill="1" applyBorder="1" applyAlignment="1">
      <alignment horizontal="left" vertical="center"/>
    </xf>
    <xf numFmtId="3" fontId="0" fillId="22" borderId="91" xfId="0" applyNumberFormat="1" applyFont="1" applyFill="1" applyBorder="1" applyAlignment="1">
      <alignment horizontal="right" vertical="center"/>
    </xf>
    <xf numFmtId="3" fontId="31" fillId="22" borderId="91" xfId="0" applyNumberFormat="1" applyFont="1" applyFill="1" applyBorder="1" applyAlignment="1">
      <alignment horizontal="right" vertical="center"/>
    </xf>
    <xf numFmtId="3" fontId="27" fillId="22" borderId="91" xfId="0" applyNumberFormat="1" applyFont="1" applyFill="1" applyBorder="1" applyAlignment="1">
      <alignment horizontal="right" vertical="center"/>
    </xf>
    <xf numFmtId="3" fontId="28" fillId="0" borderId="91" xfId="0" applyNumberFormat="1" applyFont="1" applyFill="1" applyBorder="1" applyAlignment="1">
      <alignment vertical="top"/>
    </xf>
    <xf numFmtId="3" fontId="28" fillId="22" borderId="91" xfId="0" applyNumberFormat="1" applyFont="1" applyFill="1" applyBorder="1" applyAlignment="1">
      <alignment horizontal="right" vertical="center"/>
    </xf>
    <xf numFmtId="0" fontId="7" fillId="0" borderId="99" xfId="0" applyFont="1" applyFill="1" applyBorder="1" applyAlignment="1">
      <alignment vertical="center" wrapText="1"/>
    </xf>
    <xf numFmtId="3" fontId="28" fillId="0" borderId="96" xfId="0" applyNumberFormat="1" applyFont="1" applyFill="1" applyBorder="1" applyAlignment="1">
      <alignment vertical="top"/>
    </xf>
    <xf numFmtId="3" fontId="28" fillId="0" borderId="96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 wrapText="1"/>
    </xf>
    <xf numFmtId="3" fontId="40" fillId="0" borderId="91" xfId="0" applyNumberFormat="1" applyFont="1" applyFill="1" applyBorder="1" applyAlignment="1">
      <alignment vertical="center"/>
    </xf>
    <xf numFmtId="3" fontId="40" fillId="0" borderId="91" xfId="0" applyNumberFormat="1" applyFont="1" applyFill="1" applyBorder="1" applyAlignment="1">
      <alignment vertical="top"/>
    </xf>
    <xf numFmtId="0" fontId="17" fillId="2" borderId="43" xfId="0" applyFont="1" applyFill="1" applyBorder="1" applyAlignment="1">
      <alignment horizontal="center" vertical="center" wrapText="1"/>
    </xf>
    <xf numFmtId="3" fontId="40" fillId="0" borderId="47" xfId="0" applyNumberFormat="1" applyFont="1" applyFill="1" applyBorder="1" applyAlignment="1">
      <alignment vertical="center"/>
    </xf>
    <xf numFmtId="3" fontId="40" fillId="0" borderId="47" xfId="0" applyNumberFormat="1" applyFont="1" applyFill="1" applyBorder="1" applyAlignment="1">
      <alignment vertical="top"/>
    </xf>
    <xf numFmtId="0" fontId="27" fillId="55" borderId="146" xfId="4" applyFont="1" applyFill="1" applyBorder="1" applyAlignment="1">
      <alignment horizontal="left" vertical="center"/>
    </xf>
    <xf numFmtId="0" fontId="27" fillId="55" borderId="137" xfId="4" applyFont="1" applyFill="1" applyBorder="1" applyAlignment="1">
      <alignment horizontal="left" vertical="center"/>
    </xf>
    <xf numFmtId="3" fontId="27" fillId="55" borderId="139" xfId="4" applyNumberFormat="1" applyFont="1" applyFill="1" applyBorder="1" applyAlignment="1">
      <alignment horizontal="right" vertical="center"/>
    </xf>
    <xf numFmtId="0" fontId="27" fillId="55" borderId="10" xfId="4" applyFont="1" applyFill="1" applyBorder="1" applyAlignment="1">
      <alignment horizontal="left" vertical="center"/>
    </xf>
    <xf numFmtId="0" fontId="27" fillId="55" borderId="13" xfId="4" applyFont="1" applyFill="1" applyBorder="1" applyAlignment="1">
      <alignment horizontal="left" vertical="center"/>
    </xf>
    <xf numFmtId="0" fontId="27" fillId="55" borderId="74" xfId="0" applyFont="1" applyFill="1" applyBorder="1" applyAlignment="1">
      <alignment horizontal="left" vertical="top"/>
    </xf>
    <xf numFmtId="0" fontId="28" fillId="55" borderId="12" xfId="0" quotePrefix="1" applyFont="1" applyFill="1" applyBorder="1" applyAlignment="1">
      <alignment horizontal="center" vertical="top"/>
    </xf>
    <xf numFmtId="0" fontId="25" fillId="6" borderId="35" xfId="4" applyFont="1" applyFill="1" applyBorder="1" applyAlignment="1">
      <alignment horizontal="left" vertical="center"/>
    </xf>
    <xf numFmtId="0" fontId="27" fillId="8" borderId="137" xfId="4" applyFont="1" applyFill="1" applyBorder="1" applyAlignment="1">
      <alignment vertical="center"/>
    </xf>
    <xf numFmtId="3" fontId="27" fillId="8" borderId="137" xfId="0" applyNumberFormat="1" applyFont="1" applyFill="1" applyBorder="1" applyAlignment="1">
      <alignment vertical="top"/>
    </xf>
    <xf numFmtId="3" fontId="27" fillId="23" borderId="137" xfId="0" applyNumberFormat="1" applyFont="1" applyFill="1" applyBorder="1" applyAlignment="1">
      <alignment vertical="top"/>
    </xf>
    <xf numFmtId="0" fontId="31" fillId="8" borderId="137" xfId="0" applyFont="1" applyFill="1" applyBorder="1" applyAlignment="1">
      <alignment vertical="top"/>
    </xf>
    <xf numFmtId="3" fontId="28" fillId="8" borderId="137" xfId="0" applyNumberFormat="1" applyFont="1" applyFill="1" applyBorder="1" applyAlignment="1">
      <alignment vertical="top"/>
    </xf>
    <xf numFmtId="3" fontId="28" fillId="23" borderId="137" xfId="0" applyNumberFormat="1" applyFont="1" applyFill="1" applyBorder="1" applyAlignment="1">
      <alignment horizontal="center" vertical="top"/>
    </xf>
    <xf numFmtId="3" fontId="31" fillId="8" borderId="137" xfId="0" applyNumberFormat="1" applyFont="1" applyFill="1" applyBorder="1" applyAlignment="1">
      <alignment vertical="top"/>
    </xf>
    <xf numFmtId="3" fontId="27" fillId="23" borderId="137" xfId="0" applyNumberFormat="1" applyFont="1" applyFill="1" applyBorder="1" applyAlignment="1">
      <alignment horizontal="center" vertical="top"/>
    </xf>
    <xf numFmtId="0" fontId="31" fillId="8" borderId="137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31" xfId="4" applyFont="1" applyFill="1" applyBorder="1" applyAlignment="1">
      <alignment vertical="center"/>
    </xf>
    <xf numFmtId="3" fontId="31" fillId="8" borderId="131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vertical="top"/>
    </xf>
    <xf numFmtId="3" fontId="31" fillId="8" borderId="10" xfId="0" applyNumberFormat="1" applyFont="1" applyFill="1" applyBorder="1" applyAlignment="1">
      <alignment vertical="top"/>
    </xf>
    <xf numFmtId="3" fontId="27" fillId="25" borderId="137" xfId="0" applyNumberFormat="1" applyFont="1" applyFill="1" applyBorder="1" applyAlignment="1">
      <alignment horizontal="center" vertical="top"/>
    </xf>
    <xf numFmtId="0" fontId="31" fillId="0" borderId="137" xfId="4" applyFont="1" applyFill="1" applyBorder="1" applyAlignment="1">
      <alignment vertical="center"/>
    </xf>
    <xf numFmtId="3" fontId="25" fillId="6" borderId="35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0" fillId="0" borderId="137" xfId="0" applyFont="1" applyBorder="1"/>
    <xf numFmtId="0" fontId="0" fillId="0" borderId="131" xfId="0" applyFont="1" applyBorder="1"/>
    <xf numFmtId="0" fontId="31" fillId="6" borderId="188" xfId="0" applyFont="1" applyFill="1" applyBorder="1" applyAlignment="1">
      <alignment vertical="top"/>
    </xf>
    <xf numFmtId="3" fontId="25" fillId="6" borderId="188" xfId="0" applyNumberFormat="1" applyFont="1" applyFill="1" applyBorder="1" applyAlignment="1">
      <alignment vertical="top"/>
    </xf>
    <xf numFmtId="3" fontId="25" fillId="22" borderId="188" xfId="0" applyNumberFormat="1" applyFont="1" applyFill="1" applyBorder="1" applyAlignment="1">
      <alignment vertical="top"/>
    </xf>
    <xf numFmtId="3" fontId="27" fillId="0" borderId="188" xfId="4" applyNumberFormat="1" applyFont="1" applyFill="1" applyBorder="1" applyAlignment="1">
      <alignment vertical="top" wrapText="1"/>
    </xf>
    <xf numFmtId="3" fontId="27" fillId="0" borderId="188" xfId="0" applyNumberFormat="1" applyFont="1" applyFill="1" applyBorder="1" applyAlignment="1">
      <alignment vertical="top"/>
    </xf>
    <xf numFmtId="0" fontId="32" fillId="0" borderId="188" xfId="0" applyFont="1" applyBorder="1"/>
    <xf numFmtId="3" fontId="31" fillId="2" borderId="188" xfId="0" applyNumberFormat="1" applyFont="1" applyFill="1" applyBorder="1" applyAlignment="1">
      <alignment vertical="top"/>
    </xf>
    <xf numFmtId="0" fontId="32" fillId="0" borderId="188" xfId="0" applyFont="1" applyBorder="1" applyAlignment="1">
      <alignment vertical="center"/>
    </xf>
    <xf numFmtId="3" fontId="31" fillId="0" borderId="188" xfId="4" applyNumberFormat="1" applyFont="1" applyFill="1" applyBorder="1" applyAlignment="1"/>
    <xf numFmtId="3" fontId="31" fillId="0" borderId="188" xfId="0" applyNumberFormat="1" applyFont="1" applyFill="1" applyBorder="1" applyAlignment="1">
      <alignment vertical="center"/>
    </xf>
    <xf numFmtId="3" fontId="31" fillId="2" borderId="188" xfId="0" applyNumberFormat="1" applyFont="1" applyFill="1" applyBorder="1" applyAlignment="1">
      <alignment vertical="center"/>
    </xf>
    <xf numFmtId="3" fontId="31" fillId="23" borderId="188" xfId="0" applyNumberFormat="1" applyFont="1" applyFill="1" applyBorder="1" applyAlignment="1">
      <alignment vertical="top"/>
    </xf>
    <xf numFmtId="0" fontId="33" fillId="0" borderId="188" xfId="0" applyFont="1" applyBorder="1" applyAlignment="1">
      <alignment vertical="center"/>
    </xf>
    <xf numFmtId="3" fontId="27" fillId="0" borderId="188" xfId="0" applyNumberFormat="1" applyFont="1" applyFill="1" applyBorder="1" applyAlignment="1">
      <alignment vertical="center"/>
    </xf>
    <xf numFmtId="43" fontId="27" fillId="0" borderId="188" xfId="1" applyFont="1" applyFill="1" applyBorder="1" applyAlignment="1">
      <alignment vertical="center"/>
    </xf>
    <xf numFmtId="0" fontId="31" fillId="6" borderId="188" xfId="0" applyFont="1" applyFill="1" applyBorder="1" applyAlignment="1">
      <alignment vertical="center"/>
    </xf>
    <xf numFmtId="3" fontId="25" fillId="6" borderId="188" xfId="0" applyNumberFormat="1" applyFont="1" applyFill="1" applyBorder="1" applyAlignment="1">
      <alignment vertical="center"/>
    </xf>
    <xf numFmtId="3" fontId="27" fillId="0" borderId="188" xfId="4" applyNumberFormat="1" applyFont="1" applyFill="1" applyBorder="1" applyAlignment="1">
      <alignment vertical="center" wrapText="1"/>
    </xf>
    <xf numFmtId="3" fontId="27" fillId="2" borderId="188" xfId="0" applyNumberFormat="1" applyFont="1" applyFill="1" applyBorder="1" applyAlignment="1">
      <alignment vertical="center"/>
    </xf>
    <xf numFmtId="43" fontId="27" fillId="2" borderId="188" xfId="1" applyFont="1" applyFill="1" applyBorder="1" applyAlignment="1">
      <alignment vertical="center"/>
    </xf>
    <xf numFmtId="0" fontId="18" fillId="8" borderId="3" xfId="0" applyFont="1" applyFill="1" applyBorder="1" applyAlignment="1">
      <alignment vertical="center"/>
    </xf>
    <xf numFmtId="0" fontId="18" fillId="8" borderId="79" xfId="0" applyFont="1" applyFill="1" applyBorder="1" applyAlignment="1">
      <alignment vertical="center"/>
    </xf>
    <xf numFmtId="3" fontId="18" fillId="8" borderId="79" xfId="0" applyNumberFormat="1" applyFont="1" applyFill="1" applyBorder="1" applyAlignment="1">
      <alignment vertical="center"/>
    </xf>
    <xf numFmtId="3" fontId="18" fillId="23" borderId="70" xfId="0" applyNumberFormat="1" applyFont="1" applyFill="1" applyBorder="1" applyAlignment="1">
      <alignment vertical="center"/>
    </xf>
    <xf numFmtId="0" fontId="20" fillId="6" borderId="176" xfId="4" applyFont="1" applyFill="1" applyBorder="1" applyAlignment="1">
      <alignment horizontal="left" vertical="center"/>
    </xf>
    <xf numFmtId="43" fontId="29" fillId="0" borderId="173" xfId="1" applyFont="1" applyFill="1" applyBorder="1" applyAlignment="1">
      <alignment horizontal="right" vertical="center"/>
    </xf>
    <xf numFmtId="3" fontId="31" fillId="0" borderId="95" xfId="4" applyNumberFormat="1" applyFont="1" applyFill="1" applyBorder="1" applyAlignment="1">
      <alignment horizontal="right" vertical="center"/>
    </xf>
    <xf numFmtId="43" fontId="24" fillId="6" borderId="29" xfId="4" applyNumberFormat="1" applyFont="1" applyFill="1" applyBorder="1" applyAlignment="1">
      <alignment vertical="center"/>
    </xf>
    <xf numFmtId="43" fontId="33" fillId="0" borderId="93" xfId="6" applyNumberFormat="1" applyFont="1" applyFill="1" applyBorder="1" applyAlignment="1">
      <alignment vertical="center"/>
    </xf>
    <xf numFmtId="43" fontId="31" fillId="0" borderId="65" xfId="4" applyNumberFormat="1" applyFont="1" applyFill="1" applyBorder="1" applyAlignment="1">
      <alignment vertical="center"/>
    </xf>
    <xf numFmtId="0" fontId="28" fillId="0" borderId="181" xfId="4" applyFont="1" applyFill="1" applyBorder="1" applyAlignment="1">
      <alignment horizontal="right" vertical="center"/>
    </xf>
    <xf numFmtId="43" fontId="33" fillId="0" borderId="183" xfId="6" applyNumberFormat="1" applyFont="1" applyFill="1" applyBorder="1" applyAlignment="1">
      <alignment vertical="center"/>
    </xf>
    <xf numFmtId="43" fontId="7" fillId="0" borderId="173" xfId="4" applyNumberFormat="1" applyFont="1" applyFill="1" applyBorder="1" applyAlignment="1">
      <alignment horizontal="right" vertical="center"/>
    </xf>
    <xf numFmtId="43" fontId="33" fillId="0" borderId="29" xfId="6" applyNumberFormat="1" applyFont="1" applyFill="1" applyBorder="1" applyAlignment="1">
      <alignment vertical="center"/>
    </xf>
    <xf numFmtId="3" fontId="28" fillId="2" borderId="135" xfId="4" applyNumberFormat="1" applyFont="1" applyFill="1" applyBorder="1" applyAlignment="1">
      <alignment horizontal="right" vertical="center" wrapText="1"/>
    </xf>
    <xf numFmtId="3" fontId="32" fillId="0" borderId="173" xfId="6" applyNumberFormat="1" applyFont="1" applyFill="1" applyBorder="1" applyAlignment="1">
      <alignment vertical="center"/>
    </xf>
    <xf numFmtId="3" fontId="31" fillId="0" borderId="173" xfId="4" applyNumberFormat="1" applyFont="1" applyFill="1" applyBorder="1" applyAlignment="1">
      <alignment horizontal="right" vertical="center"/>
    </xf>
    <xf numFmtId="43" fontId="32" fillId="0" borderId="183" xfId="6" applyNumberFormat="1" applyFont="1" applyFill="1" applyBorder="1" applyAlignment="1">
      <alignment vertical="center"/>
    </xf>
    <xf numFmtId="0" fontId="41" fillId="0" borderId="135" xfId="0" applyFont="1" applyBorder="1" applyAlignment="1">
      <alignment horizontal="right" vertical="center"/>
    </xf>
    <xf numFmtId="43" fontId="7" fillId="0" borderId="171" xfId="4" applyNumberFormat="1" applyFont="1" applyFill="1" applyBorder="1" applyAlignment="1">
      <alignment horizontal="right" vertical="center"/>
    </xf>
    <xf numFmtId="43" fontId="32" fillId="0" borderId="30" xfId="6" applyNumberFormat="1" applyFont="1" applyFill="1" applyBorder="1" applyAlignment="1">
      <alignment vertical="center"/>
    </xf>
    <xf numFmtId="43" fontId="7" fillId="0" borderId="47" xfId="4" applyNumberFormat="1" applyFont="1" applyFill="1" applyBorder="1" applyAlignment="1">
      <alignment horizontal="right" vertical="center"/>
    </xf>
    <xf numFmtId="3" fontId="24" fillId="6" borderId="29" xfId="1" applyNumberFormat="1" applyFont="1" applyFill="1" applyBorder="1" applyAlignment="1">
      <alignment horizontal="right" vertical="center"/>
    </xf>
    <xf numFmtId="3" fontId="27" fillId="0" borderId="96" xfId="1" applyNumberFormat="1" applyFont="1" applyFill="1" applyBorder="1" applyAlignment="1">
      <alignment horizontal="right" vertical="center"/>
    </xf>
    <xf numFmtId="3" fontId="31" fillId="0" borderId="29" xfId="1" applyNumberFormat="1" applyFont="1" applyFill="1" applyBorder="1" applyAlignment="1">
      <alignment horizontal="right"/>
    </xf>
    <xf numFmtId="3" fontId="27" fillId="0" borderId="63" xfId="1" applyNumberFormat="1" applyFont="1" applyFill="1" applyBorder="1" applyAlignment="1">
      <alignment horizontal="right" vertical="center"/>
    </xf>
    <xf numFmtId="3" fontId="33" fillId="0" borderId="30" xfId="1" applyNumberFormat="1" applyFont="1" applyFill="1" applyBorder="1" applyAlignment="1">
      <alignment horizontal="right" vertical="center"/>
    </xf>
    <xf numFmtId="3" fontId="31" fillId="0" borderId="148" xfId="1" applyNumberFormat="1" applyFont="1" applyFill="1" applyBorder="1" applyAlignment="1">
      <alignment horizontal="right"/>
    </xf>
    <xf numFmtId="3" fontId="27" fillId="0" borderId="172" xfId="4" applyNumberFormat="1" applyFont="1" applyFill="1" applyBorder="1" applyAlignment="1">
      <alignment vertical="center"/>
    </xf>
    <xf numFmtId="3" fontId="29" fillId="0" borderId="172" xfId="4" applyNumberFormat="1" applyFont="1" applyFill="1" applyBorder="1" applyAlignment="1">
      <alignment vertical="center"/>
    </xf>
    <xf numFmtId="3" fontId="27" fillId="25" borderId="172" xfId="4" applyNumberFormat="1" applyFont="1" applyFill="1" applyBorder="1" applyAlignment="1">
      <alignment vertical="center"/>
    </xf>
    <xf numFmtId="0" fontId="28" fillId="0" borderId="177" xfId="4" applyFont="1" applyFill="1" applyBorder="1" applyAlignment="1">
      <alignment vertical="center"/>
    </xf>
    <xf numFmtId="3" fontId="28" fillId="0" borderId="172" xfId="4" applyNumberFormat="1" applyFont="1" applyFill="1" applyBorder="1" applyAlignment="1">
      <alignment horizontal="right" vertical="center"/>
    </xf>
    <xf numFmtId="3" fontId="28" fillId="25" borderId="172" xfId="4" applyNumberFormat="1" applyFont="1" applyFill="1" applyBorder="1" applyAlignment="1">
      <alignment horizontal="right"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65" fillId="0" borderId="173" xfId="6" applyNumberFormat="1" applyFont="1" applyFill="1" applyBorder="1" applyAlignment="1">
      <alignment vertical="center"/>
    </xf>
    <xf numFmtId="3" fontId="40" fillId="0" borderId="173" xfId="4" applyNumberFormat="1" applyFont="1" applyFill="1" applyBorder="1" applyAlignment="1">
      <alignment horizontal="right" vertical="center"/>
    </xf>
    <xf numFmtId="3" fontId="28" fillId="25" borderId="173" xfId="4" applyNumberFormat="1" applyFont="1" applyFill="1" applyBorder="1" applyAlignment="1">
      <alignment horizontal="right" vertical="center"/>
    </xf>
    <xf numFmtId="3" fontId="33" fillId="0" borderId="172" xfId="114" applyNumberFormat="1" applyFont="1" applyFill="1" applyBorder="1" applyAlignment="1">
      <alignment vertical="center"/>
    </xf>
    <xf numFmtId="3" fontId="33" fillId="0" borderId="171" xfId="114" applyNumberFormat="1" applyFont="1" applyFill="1" applyBorder="1" applyAlignment="1">
      <alignment vertical="center"/>
    </xf>
    <xf numFmtId="0" fontId="4" fillId="0" borderId="171" xfId="112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25" fillId="6" borderId="172" xfId="1" applyFont="1" applyFill="1" applyBorder="1" applyAlignment="1">
      <alignment vertical="center"/>
    </xf>
    <xf numFmtId="43" fontId="27" fillId="0" borderId="172" xfId="1" applyFont="1" applyFill="1" applyBorder="1" applyAlignment="1">
      <alignment vertical="center"/>
    </xf>
    <xf numFmtId="43" fontId="29" fillId="0" borderId="172" xfId="1" applyFont="1" applyFill="1" applyBorder="1" applyAlignment="1">
      <alignment vertical="center"/>
    </xf>
    <xf numFmtId="43" fontId="28" fillId="0" borderId="172" xfId="1" applyFont="1" applyFill="1" applyBorder="1" applyAlignment="1">
      <alignment horizontal="right" vertical="center"/>
    </xf>
    <xf numFmtId="43" fontId="31" fillId="0" borderId="182" xfId="1" applyFont="1" applyFill="1" applyBorder="1" applyAlignment="1">
      <alignment horizontal="right" vertical="center"/>
    </xf>
    <xf numFmtId="0" fontId="34" fillId="2" borderId="24" xfId="0" applyFont="1" applyFill="1" applyBorder="1" applyAlignment="1">
      <alignment vertical="top"/>
    </xf>
    <xf numFmtId="0" fontId="34" fillId="0" borderId="24" xfId="0" applyFont="1" applyFill="1" applyBorder="1" applyAlignment="1">
      <alignment vertical="top"/>
    </xf>
    <xf numFmtId="0" fontId="17" fillId="2" borderId="5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top"/>
    </xf>
    <xf numFmtId="0" fontId="17" fillId="2" borderId="24" xfId="0" applyFont="1" applyFill="1" applyBorder="1" applyAlignment="1">
      <alignment horizontal="center" vertical="top"/>
    </xf>
    <xf numFmtId="0" fontId="23" fillId="0" borderId="74" xfId="6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top"/>
    </xf>
    <xf numFmtId="0" fontId="30" fillId="8" borderId="5" xfId="0" applyFont="1" applyFill="1" applyBorder="1" applyAlignment="1">
      <alignment vertical="top"/>
    </xf>
    <xf numFmtId="3" fontId="27" fillId="55" borderId="18" xfId="4" applyNumberFormat="1" applyFont="1" applyFill="1" applyBorder="1" applyAlignment="1">
      <alignment horizontal="right" vertical="center"/>
    </xf>
    <xf numFmtId="3" fontId="27" fillId="21" borderId="44" xfId="4" applyNumberFormat="1" applyFont="1" applyFill="1" applyBorder="1" applyAlignment="1">
      <alignment horizontal="right" vertical="center"/>
    </xf>
    <xf numFmtId="3" fontId="18" fillId="8" borderId="66" xfId="4" applyNumberFormat="1" applyFont="1" applyFill="1" applyBorder="1" applyAlignment="1">
      <alignment vertical="top" wrapText="1"/>
    </xf>
    <xf numFmtId="3" fontId="27" fillId="55" borderId="0" xfId="4" applyNumberFormat="1" applyFont="1" applyFill="1" applyBorder="1" applyAlignment="1">
      <alignment horizontal="right" vertical="center"/>
    </xf>
    <xf numFmtId="3" fontId="27" fillId="21" borderId="43" xfId="4" applyNumberFormat="1" applyFont="1" applyFill="1" applyBorder="1" applyAlignment="1">
      <alignment horizontal="right" vertical="center"/>
    </xf>
    <xf numFmtId="3" fontId="18" fillId="8" borderId="67" xfId="4" applyNumberFormat="1" applyFont="1" applyFill="1" applyBorder="1" applyAlignment="1">
      <alignment vertical="top" wrapText="1"/>
    </xf>
    <xf numFmtId="3" fontId="27" fillId="55" borderId="24" xfId="0" quotePrefix="1" applyNumberFormat="1" applyFont="1" applyFill="1" applyBorder="1" applyAlignment="1">
      <alignment horizontal="right" vertical="top"/>
    </xf>
    <xf numFmtId="3" fontId="27" fillId="21" borderId="41" xfId="4" applyNumberFormat="1" applyFont="1" applyFill="1" applyBorder="1" applyAlignment="1">
      <alignment horizontal="right" vertical="center"/>
    </xf>
    <xf numFmtId="0" fontId="25" fillId="6" borderId="21" xfId="4" applyFont="1" applyFill="1" applyBorder="1" applyAlignment="1">
      <alignment horizontal="left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3" fontId="25" fillId="6" borderId="7" xfId="0" applyNumberFormat="1" applyFont="1" applyFill="1" applyBorder="1" applyAlignment="1"/>
    <xf numFmtId="3" fontId="25" fillId="22" borderId="46" xfId="0" applyNumberFormat="1" applyFont="1" applyFill="1" applyBorder="1" applyAlignment="1"/>
    <xf numFmtId="0" fontId="27" fillId="8" borderId="36" xfId="4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3" fontId="25" fillId="8" borderId="7" xfId="0" applyNumberFormat="1" applyFont="1" applyFill="1" applyBorder="1" applyAlignment="1"/>
    <xf numFmtId="3" fontId="25" fillId="23" borderId="46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3" fontId="31" fillId="8" borderId="7" xfId="0" applyNumberFormat="1" applyFont="1" applyFill="1" applyBorder="1" applyAlignment="1"/>
    <xf numFmtId="3" fontId="31" fillId="23" borderId="174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71" xfId="0" applyNumberFormat="1" applyFont="1" applyFill="1" applyBorder="1" applyAlignment="1">
      <alignment vertical="center"/>
    </xf>
    <xf numFmtId="43" fontId="31" fillId="8" borderId="7" xfId="1" applyFont="1" applyFill="1" applyBorder="1" applyAlignment="1"/>
    <xf numFmtId="3" fontId="31" fillId="25" borderId="174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43" fontId="31" fillId="8" borderId="171" xfId="1" applyFont="1" applyFill="1" applyBorder="1" applyAlignment="1">
      <alignment vertical="center"/>
    </xf>
    <xf numFmtId="43" fontId="31" fillId="8" borderId="175" xfId="1" applyFont="1" applyFill="1" applyBorder="1" applyAlignment="1">
      <alignment vertical="center"/>
    </xf>
    <xf numFmtId="3" fontId="31" fillId="23" borderId="174" xfId="0" applyNumberFormat="1" applyFont="1" applyFill="1" applyBorder="1" applyAlignment="1">
      <alignment vertical="top"/>
    </xf>
    <xf numFmtId="0" fontId="59" fillId="8" borderId="67" xfId="0" applyFont="1" applyFill="1" applyBorder="1" applyAlignment="1">
      <alignment horizontal="center" vertical="top" wrapText="1"/>
    </xf>
    <xf numFmtId="0" fontId="31" fillId="8" borderId="135" xfId="0" applyFont="1" applyFill="1" applyBorder="1" applyAlignment="1">
      <alignment vertical="center" wrapText="1"/>
    </xf>
    <xf numFmtId="43" fontId="31" fillId="8" borderId="35" xfId="1" applyFont="1" applyFill="1" applyBorder="1" applyAlignment="1">
      <alignment vertical="center"/>
    </xf>
    <xf numFmtId="43" fontId="31" fillId="8" borderId="7" xfId="1" applyFont="1" applyFill="1" applyBorder="1" applyAlignment="1">
      <alignment vertical="center"/>
    </xf>
    <xf numFmtId="3" fontId="31" fillId="23" borderId="174" xfId="0" applyNumberFormat="1" applyFont="1" applyFill="1" applyBorder="1" applyAlignment="1">
      <alignment vertical="center"/>
    </xf>
    <xf numFmtId="0" fontId="59" fillId="8" borderId="67" xfId="0" applyFont="1" applyFill="1" applyBorder="1" applyAlignment="1">
      <alignment horizontal="center" vertical="center" wrapText="1"/>
    </xf>
    <xf numFmtId="3" fontId="7" fillId="23" borderId="174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43" fontId="25" fillId="8" borderId="35" xfId="1" applyFont="1" applyFill="1" applyBorder="1" applyAlignment="1">
      <alignment vertical="center"/>
    </xf>
    <xf numFmtId="43" fontId="25" fillId="8" borderId="7" xfId="1" applyFont="1" applyFill="1" applyBorder="1" applyAlignment="1">
      <alignment vertical="center"/>
    </xf>
    <xf numFmtId="0" fontId="31" fillId="8" borderId="145" xfId="4" applyFont="1" applyFill="1" applyBorder="1" applyAlignment="1">
      <alignment vertical="top" wrapText="1"/>
    </xf>
    <xf numFmtId="0" fontId="31" fillId="8" borderId="176" xfId="0" applyFont="1" applyFill="1" applyBorder="1" applyAlignment="1">
      <alignment vertical="top" wrapText="1"/>
    </xf>
    <xf numFmtId="3" fontId="31" fillId="8" borderId="138" xfId="0" applyNumberFormat="1" applyFont="1" applyFill="1" applyBorder="1" applyAlignment="1">
      <alignment vertical="top"/>
    </xf>
    <xf numFmtId="43" fontId="31" fillId="8" borderId="138" xfId="1" applyFont="1" applyFill="1" applyBorder="1" applyAlignment="1">
      <alignment vertical="top"/>
    </xf>
    <xf numFmtId="43" fontId="31" fillId="8" borderId="112" xfId="1" applyFont="1" applyFill="1" applyBorder="1" applyAlignment="1">
      <alignment vertical="top"/>
    </xf>
    <xf numFmtId="0" fontId="18" fillId="8" borderId="67" xfId="0" applyFont="1" applyFill="1" applyBorder="1" applyAlignment="1">
      <alignment horizontal="center" vertical="top" wrapText="1"/>
    </xf>
    <xf numFmtId="0" fontId="18" fillId="8" borderId="67" xfId="0" applyFont="1" applyFill="1" applyBorder="1" applyAlignment="1">
      <alignment horizontal="center" vertical="center" wrapText="1"/>
    </xf>
    <xf numFmtId="43" fontId="31" fillId="8" borderId="8" xfId="1" applyFont="1" applyFill="1" applyBorder="1" applyAlignment="1">
      <alignment vertical="center"/>
    </xf>
    <xf numFmtId="43" fontId="25" fillId="8" borderId="8" xfId="1" applyFont="1" applyFill="1" applyBorder="1" applyAlignment="1">
      <alignment vertical="center"/>
    </xf>
    <xf numFmtId="0" fontId="31" fillId="8" borderId="27" xfId="0" applyFont="1" applyFill="1" applyBorder="1" applyAlignment="1">
      <alignment vertical="top" wrapText="1"/>
    </xf>
    <xf numFmtId="43" fontId="31" fillId="8" borderId="131" xfId="1" applyFont="1" applyFill="1" applyBorder="1" applyAlignment="1">
      <alignment vertical="top"/>
    </xf>
    <xf numFmtId="43" fontId="31" fillId="8" borderId="134" xfId="1" applyFont="1" applyFill="1" applyBorder="1" applyAlignment="1">
      <alignment vertical="top"/>
    </xf>
    <xf numFmtId="0" fontId="24" fillId="8" borderId="19" xfId="0" applyFont="1" applyFill="1" applyBorder="1" applyAlignment="1">
      <alignment vertical="top" wrapText="1"/>
    </xf>
    <xf numFmtId="3" fontId="31" fillId="8" borderId="3" xfId="0" applyNumberFormat="1" applyFont="1" applyFill="1" applyBorder="1" applyAlignment="1">
      <alignment vertical="top"/>
    </xf>
    <xf numFmtId="3" fontId="31" fillId="8" borderId="15" xfId="0" applyNumberFormat="1" applyFont="1" applyFill="1" applyBorder="1" applyAlignment="1">
      <alignment vertical="top"/>
    </xf>
    <xf numFmtId="3" fontId="31" fillId="8" borderId="4" xfId="0" applyNumberFormat="1" applyFont="1" applyFill="1" applyBorder="1" applyAlignment="1">
      <alignment vertical="top"/>
    </xf>
    <xf numFmtId="3" fontId="31" fillId="23" borderId="42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6" borderId="176" xfId="0" applyFont="1" applyFill="1" applyBorder="1" applyAlignment="1">
      <alignment vertical="top" wrapText="1"/>
    </xf>
    <xf numFmtId="3" fontId="25" fillId="6" borderId="27" xfId="0" applyNumberFormat="1" applyFont="1" applyFill="1" applyBorder="1" applyAlignment="1"/>
    <xf numFmtId="3" fontId="25" fillId="6" borderId="13" xfId="0" applyNumberFormat="1" applyFont="1" applyFill="1" applyBorder="1" applyAlignment="1"/>
    <xf numFmtId="3" fontId="25" fillId="6" borderId="0" xfId="0" applyNumberFormat="1" applyFont="1" applyFill="1" applyBorder="1" applyAlignment="1"/>
    <xf numFmtId="3" fontId="25" fillId="22" borderId="43" xfId="0" applyNumberFormat="1" applyFont="1" applyFill="1" applyBorder="1" applyAlignment="1"/>
    <xf numFmtId="3" fontId="27" fillId="2" borderId="27" xfId="0" applyNumberFormat="1" applyFont="1" applyFill="1" applyBorder="1" applyAlignment="1"/>
    <xf numFmtId="3" fontId="27" fillId="2" borderId="13" xfId="0" applyNumberFormat="1" applyFont="1" applyFill="1" applyBorder="1" applyAlignment="1"/>
    <xf numFmtId="3" fontId="27" fillId="2" borderId="0" xfId="0" applyNumberFormat="1" applyFont="1" applyFill="1" applyBorder="1" applyAlignment="1"/>
    <xf numFmtId="3" fontId="27" fillId="26" borderId="43" xfId="0" applyNumberFormat="1" applyFont="1" applyFill="1" applyBorder="1" applyAlignment="1"/>
    <xf numFmtId="3" fontId="31" fillId="0" borderId="0" xfId="0" applyNumberFormat="1" applyFont="1" applyFill="1" applyBorder="1" applyAlignment="1">
      <alignment vertical="top"/>
    </xf>
    <xf numFmtId="3" fontId="31" fillId="25" borderId="43" xfId="0" applyNumberFormat="1" applyFont="1" applyFill="1" applyBorder="1" applyAlignment="1">
      <alignment horizontal="center" vertical="top"/>
    </xf>
    <xf numFmtId="3" fontId="31" fillId="25" borderId="43" xfId="0" applyNumberFormat="1" applyFont="1" applyFill="1" applyBorder="1" applyAlignment="1">
      <alignment vertical="top"/>
    </xf>
    <xf numFmtId="3" fontId="27" fillId="0" borderId="27" xfId="0" applyNumberFormat="1" applyFont="1" applyFill="1" applyBorder="1" applyAlignment="1">
      <alignment vertical="top"/>
    </xf>
    <xf numFmtId="3" fontId="27" fillId="0" borderId="0" xfId="0" applyNumberFormat="1" applyFont="1" applyFill="1" applyBorder="1" applyAlignment="1">
      <alignment vertical="top"/>
    </xf>
    <xf numFmtId="3" fontId="27" fillId="25" borderId="43" xfId="0" applyNumberFormat="1" applyFont="1" applyFill="1" applyBorder="1" applyAlignment="1">
      <alignment horizontal="center" vertical="top"/>
    </xf>
    <xf numFmtId="0" fontId="7" fillId="0" borderId="145" xfId="4" applyFont="1" applyFill="1" applyBorder="1" applyAlignment="1">
      <alignment vertical="center"/>
    </xf>
    <xf numFmtId="0" fontId="7" fillId="6" borderId="176" xfId="0" applyFont="1" applyFill="1" applyBorder="1" applyAlignment="1">
      <alignment vertical="top"/>
    </xf>
    <xf numFmtId="0" fontId="7" fillId="2" borderId="27" xfId="0" applyFont="1" applyFill="1" applyBorder="1" applyAlignment="1">
      <alignment vertical="top"/>
    </xf>
    <xf numFmtId="3" fontId="25" fillId="2" borderId="175" xfId="0" applyNumberFormat="1" applyFont="1" applyFill="1" applyBorder="1" applyAlignment="1"/>
    <xf numFmtId="3" fontId="25" fillId="2" borderId="27" xfId="0" applyNumberFormat="1" applyFont="1" applyFill="1" applyBorder="1" applyAlignment="1"/>
    <xf numFmtId="3" fontId="25" fillId="2" borderId="13" xfId="0" applyNumberFormat="1" applyFont="1" applyFill="1" applyBorder="1" applyAlignment="1"/>
    <xf numFmtId="3" fontId="25" fillId="2" borderId="0" xfId="0" applyNumberFormat="1" applyFont="1" applyFill="1" applyBorder="1" applyAlignment="1"/>
    <xf numFmtId="0" fontId="7" fillId="0" borderId="145" xfId="4" applyFont="1" applyFill="1" applyBorder="1" applyAlignment="1">
      <alignment horizontal="left"/>
    </xf>
    <xf numFmtId="0" fontId="23" fillId="0" borderId="27" xfId="0" applyFont="1" applyBorder="1" applyAlignment="1">
      <alignment horizontal="center" vertical="center" wrapText="1"/>
    </xf>
    <xf numFmtId="3" fontId="31" fillId="0" borderId="8" xfId="0" applyNumberFormat="1" applyFont="1" applyFill="1" applyBorder="1" applyAlignment="1">
      <alignment vertical="top"/>
    </xf>
    <xf numFmtId="3" fontId="25" fillId="8" borderId="3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3" fontId="31" fillId="8" borderId="0" xfId="0" applyNumberFormat="1" applyFont="1" applyFill="1" applyBorder="1" applyAlignment="1"/>
    <xf numFmtId="3" fontId="31" fillId="8" borderId="27" xfId="0" applyNumberFormat="1" applyFont="1" applyFill="1" applyBorder="1" applyAlignment="1"/>
    <xf numFmtId="3" fontId="31" fillId="23" borderId="43" xfId="0" applyNumberFormat="1" applyFont="1" applyFill="1" applyBorder="1" applyAlignment="1"/>
    <xf numFmtId="0" fontId="7" fillId="6" borderId="172" xfId="0" applyFont="1" applyFill="1" applyBorder="1" applyAlignment="1">
      <alignment vertical="top"/>
    </xf>
    <xf numFmtId="43" fontId="25" fillId="6" borderId="171" xfId="1" applyFont="1" applyFill="1" applyBorder="1" applyAlignment="1"/>
    <xf numFmtId="43" fontId="25" fillId="6" borderId="172" xfId="1" applyFont="1" applyFill="1" applyBorder="1" applyAlignment="1"/>
    <xf numFmtId="3" fontId="25" fillId="22" borderId="174" xfId="0" applyNumberFormat="1" applyFont="1" applyFill="1" applyBorder="1" applyAlignment="1"/>
    <xf numFmtId="3" fontId="29" fillId="2" borderId="135" xfId="4" applyNumberFormat="1" applyFont="1" applyFill="1" applyBorder="1" applyAlignment="1">
      <alignment vertical="top" wrapText="1"/>
    </xf>
    <xf numFmtId="3" fontId="27" fillId="0" borderId="171" xfId="0" applyNumberFormat="1" applyFont="1" applyFill="1" applyBorder="1" applyAlignment="1"/>
    <xf numFmtId="43" fontId="27" fillId="0" borderId="171" xfId="1" applyFont="1" applyFill="1" applyBorder="1" applyAlignment="1"/>
    <xf numFmtId="43" fontId="27" fillId="0" borderId="172" xfId="1" applyFont="1" applyFill="1" applyBorder="1" applyAlignment="1"/>
    <xf numFmtId="3" fontId="27" fillId="25" borderId="174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0" fontId="7" fillId="0" borderId="135" xfId="0" applyFont="1" applyFill="1" applyBorder="1" applyAlignment="1">
      <alignment vertical="top" wrapText="1"/>
    </xf>
    <xf numFmtId="3" fontId="31" fillId="25" borderId="174" xfId="0" applyNumberFormat="1" applyFont="1" applyFill="1" applyBorder="1" applyAlignment="1">
      <alignment vertical="top"/>
    </xf>
    <xf numFmtId="3" fontId="31" fillId="0" borderId="171" xfId="0" applyNumberFormat="1" applyFont="1" applyFill="1" applyBorder="1" applyAlignment="1">
      <alignment vertical="center"/>
    </xf>
    <xf numFmtId="43" fontId="27" fillId="0" borderId="171" xfId="1" applyFont="1" applyFill="1" applyBorder="1" applyAlignment="1">
      <alignment vertical="top"/>
    </xf>
    <xf numFmtId="3" fontId="27" fillId="25" borderId="174" xfId="0" applyNumberFormat="1" applyFont="1" applyFill="1" applyBorder="1" applyAlignment="1">
      <alignment horizontal="center" vertical="top"/>
    </xf>
    <xf numFmtId="43" fontId="25" fillId="6" borderId="35" xfId="1" applyFont="1" applyFill="1" applyBorder="1" applyAlignment="1"/>
    <xf numFmtId="3" fontId="27" fillId="2" borderId="135" xfId="4" applyNumberFormat="1" applyFont="1" applyFill="1" applyBorder="1" applyAlignment="1">
      <alignment vertical="top" wrapText="1"/>
    </xf>
    <xf numFmtId="43" fontId="25" fillId="2" borderId="175" xfId="1" applyFont="1" applyFill="1" applyBorder="1" applyAlignment="1"/>
    <xf numFmtId="0" fontId="7" fillId="2" borderId="176" xfId="0" applyFont="1" applyFill="1" applyBorder="1" applyAlignment="1">
      <alignment vertical="top"/>
    </xf>
    <xf numFmtId="0" fontId="23" fillId="0" borderId="37" xfId="0" applyFont="1" applyBorder="1" applyAlignment="1">
      <alignment horizontal="center" vertical="center" wrapText="1"/>
    </xf>
    <xf numFmtId="43" fontId="31" fillId="0" borderId="12" xfId="1" applyFont="1" applyFill="1" applyBorder="1" applyAlignment="1">
      <alignment vertical="top"/>
    </xf>
    <xf numFmtId="0" fontId="7" fillId="6" borderId="139" xfId="0" applyFont="1" applyFill="1" applyBorder="1" applyAlignment="1">
      <alignment vertical="top"/>
    </xf>
    <xf numFmtId="43" fontId="25" fillId="6" borderId="139" xfId="1" applyFont="1" applyFill="1" applyBorder="1" applyAlignment="1"/>
    <xf numFmtId="43" fontId="27" fillId="2" borderId="171" xfId="1" applyFont="1" applyFill="1" applyBorder="1" applyAlignment="1"/>
    <xf numFmtId="43" fontId="27" fillId="2" borderId="139" xfId="1" applyFont="1" applyFill="1" applyBorder="1" applyAlignment="1"/>
    <xf numFmtId="3" fontId="31" fillId="0" borderId="139" xfId="4" applyNumberFormat="1" applyFont="1" applyFill="1" applyBorder="1" applyAlignment="1"/>
    <xf numFmtId="43" fontId="31" fillId="0" borderId="139" xfId="1" applyFont="1" applyFill="1" applyBorder="1" applyAlignment="1">
      <alignment vertical="top"/>
    </xf>
    <xf numFmtId="43" fontId="31" fillId="0" borderId="138" xfId="1" applyFont="1" applyFill="1" applyBorder="1" applyAlignment="1">
      <alignment vertical="top"/>
    </xf>
    <xf numFmtId="43" fontId="31" fillId="0" borderId="173" xfId="1" applyFont="1" applyFill="1" applyBorder="1" applyAlignment="1">
      <alignment vertical="top"/>
    </xf>
    <xf numFmtId="0" fontId="0" fillId="0" borderId="8" xfId="0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35" xfId="1" applyFont="1" applyBorder="1"/>
    <xf numFmtId="0" fontId="7" fillId="6" borderId="20" xfId="0" applyFont="1" applyFill="1" applyBorder="1" applyAlignment="1">
      <alignment vertical="top"/>
    </xf>
    <xf numFmtId="43" fontId="25" fillId="22" borderId="46" xfId="1" applyFont="1" applyFill="1" applyBorder="1" applyAlignment="1">
      <alignment horizontal="center" vertical="center"/>
    </xf>
    <xf numFmtId="0" fontId="24" fillId="8" borderId="67" xfId="0" applyFont="1" applyFill="1" applyBorder="1" applyAlignment="1">
      <alignment vertical="center" wrapText="1"/>
    </xf>
    <xf numFmtId="0" fontId="24" fillId="8" borderId="9" xfId="0" applyFont="1" applyFill="1" applyBorder="1" applyAlignment="1">
      <alignment horizontal="center" vertical="center" wrapText="1"/>
    </xf>
    <xf numFmtId="3" fontId="25" fillId="8" borderId="0" xfId="0" applyNumberFormat="1" applyFont="1" applyFill="1" applyBorder="1" applyAlignment="1">
      <alignment vertical="top"/>
    </xf>
    <xf numFmtId="3" fontId="25" fillId="8" borderId="13" xfId="0" applyNumberFormat="1" applyFont="1" applyFill="1" applyBorder="1" applyAlignment="1">
      <alignment vertical="top"/>
    </xf>
    <xf numFmtId="3" fontId="25" fillId="8" borderId="27" xfId="0" applyNumberFormat="1" applyFont="1" applyFill="1" applyBorder="1" applyAlignment="1">
      <alignment vertical="top"/>
    </xf>
    <xf numFmtId="43" fontId="27" fillId="2" borderId="172" xfId="1" applyFont="1" applyFill="1" applyBorder="1" applyAlignment="1"/>
    <xf numFmtId="0" fontId="7" fillId="0" borderId="36" xfId="0" applyFont="1" applyFill="1" applyBorder="1" applyAlignment="1">
      <alignment vertical="center"/>
    </xf>
    <xf numFmtId="3" fontId="31" fillId="2" borderId="138" xfId="0" applyNumberFormat="1" applyFont="1" applyFill="1" applyBorder="1" applyAlignment="1"/>
    <xf numFmtId="43" fontId="31" fillId="2" borderId="138" xfId="1" applyFont="1" applyFill="1" applyBorder="1" applyAlignment="1"/>
    <xf numFmtId="43" fontId="31" fillId="2" borderId="173" xfId="1" applyFont="1" applyFill="1" applyBorder="1" applyAlignment="1"/>
    <xf numFmtId="0" fontId="7" fillId="0" borderId="177" xfId="0" applyFont="1" applyFill="1" applyBorder="1" applyAlignment="1">
      <alignment vertical="center" wrapText="1"/>
    </xf>
    <xf numFmtId="3" fontId="27" fillId="2" borderId="9" xfId="0" applyNumberFormat="1" applyFont="1" applyFill="1" applyBorder="1" applyAlignment="1"/>
    <xf numFmtId="43" fontId="27" fillId="2" borderId="9" xfId="1" applyFont="1" applyFill="1" applyBorder="1" applyAlignment="1"/>
    <xf numFmtId="43" fontId="27" fillId="2" borderId="35" xfId="1" applyFont="1" applyFill="1" applyBorder="1" applyAlignment="1"/>
    <xf numFmtId="43" fontId="0" fillId="0" borderId="171" xfId="1" applyFont="1" applyBorder="1"/>
    <xf numFmtId="43" fontId="0" fillId="0" borderId="172" xfId="1" applyFont="1" applyBorder="1"/>
    <xf numFmtId="0" fontId="24" fillId="6" borderId="176" xfId="0" applyFont="1" applyFill="1" applyBorder="1" applyAlignment="1">
      <alignment vertical="top"/>
    </xf>
    <xf numFmtId="43" fontId="31" fillId="2" borderId="171" xfId="1" applyFont="1" applyFill="1" applyBorder="1" applyAlignment="1"/>
    <xf numFmtId="0" fontId="37" fillId="0" borderId="6" xfId="0" applyFont="1" applyBorder="1" applyAlignment="1">
      <alignment vertical="center" wrapText="1"/>
    </xf>
    <xf numFmtId="3" fontId="27" fillId="2" borderId="138" xfId="0" applyNumberFormat="1" applyFont="1" applyFill="1" applyBorder="1" applyAlignment="1"/>
    <xf numFmtId="43" fontId="27" fillId="2" borderId="138" xfId="1" applyFont="1" applyFill="1" applyBorder="1" applyAlignment="1"/>
    <xf numFmtId="43" fontId="27" fillId="2" borderId="173" xfId="1" applyFont="1" applyFill="1" applyBorder="1" applyAlignment="1"/>
    <xf numFmtId="0" fontId="0" fillId="0" borderId="25" xfId="0" applyFont="1" applyBorder="1"/>
    <xf numFmtId="3" fontId="24" fillId="8" borderId="3" xfId="0" applyNumberFormat="1" applyFont="1" applyFill="1" applyBorder="1" applyAlignment="1">
      <alignment vertical="top"/>
    </xf>
    <xf numFmtId="3" fontId="24" fillId="8" borderId="15" xfId="0" applyNumberFormat="1" applyFont="1" applyFill="1" applyBorder="1" applyAlignment="1">
      <alignment vertical="top"/>
    </xf>
    <xf numFmtId="3" fontId="24" fillId="23" borderId="42" xfId="0" applyNumberFormat="1" applyFont="1" applyFill="1" applyBorder="1" applyAlignment="1">
      <alignment vertical="top"/>
    </xf>
    <xf numFmtId="0" fontId="7" fillId="6" borderId="176" xfId="0" applyFont="1" applyFill="1" applyBorder="1" applyAlignment="1">
      <alignment vertical="center"/>
    </xf>
    <xf numFmtId="43" fontId="24" fillId="6" borderId="172" xfId="1" applyFont="1" applyFill="1" applyBorder="1" applyAlignment="1"/>
    <xf numFmtId="3" fontId="24" fillId="22" borderId="174" xfId="0" applyNumberFormat="1" applyFont="1" applyFill="1" applyBorder="1" applyAlignment="1"/>
    <xf numFmtId="3" fontId="29" fillId="2" borderId="171" xfId="0" applyNumberFormat="1" applyFont="1" applyFill="1" applyBorder="1" applyAlignment="1"/>
    <xf numFmtId="43" fontId="29" fillId="2" borderId="171" xfId="1" applyFont="1" applyFill="1" applyBorder="1" applyAlignment="1"/>
    <xf numFmtId="43" fontId="29" fillId="2" borderId="172" xfId="1" applyFont="1" applyFill="1" applyBorder="1" applyAlignment="1"/>
    <xf numFmtId="3" fontId="29" fillId="23" borderId="174" xfId="0" applyNumberFormat="1" applyFont="1" applyFill="1" applyBorder="1" applyAlignment="1"/>
    <xf numFmtId="3" fontId="7" fillId="2" borderId="138" xfId="0" applyNumberFormat="1" applyFont="1" applyFill="1" applyBorder="1" applyAlignment="1"/>
    <xf numFmtId="43" fontId="7" fillId="2" borderId="138" xfId="1" applyFont="1" applyFill="1" applyBorder="1" applyAlignment="1"/>
    <xf numFmtId="43" fontId="7" fillId="2" borderId="173" xfId="1" applyFont="1" applyFill="1" applyBorder="1" applyAlignment="1"/>
    <xf numFmtId="43" fontId="7" fillId="25" borderId="174" xfId="1" applyFont="1" applyFill="1" applyBorder="1" applyAlignment="1">
      <alignment horizontal="center" vertical="top"/>
    </xf>
    <xf numFmtId="0" fontId="7" fillId="2" borderId="77" xfId="0" applyFont="1" applyFill="1" applyBorder="1" applyAlignment="1">
      <alignment vertical="top" wrapText="1"/>
    </xf>
    <xf numFmtId="43" fontId="7" fillId="0" borderId="29" xfId="1" applyFont="1" applyFill="1" applyBorder="1" applyAlignment="1"/>
    <xf numFmtId="3" fontId="7" fillId="25" borderId="174" xfId="0" applyNumberFormat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27" fillId="23" borderId="174" xfId="0" applyNumberFormat="1" applyFont="1" applyFill="1" applyBorder="1" applyAlignment="1"/>
    <xf numFmtId="43" fontId="31" fillId="25" borderId="174" xfId="1" applyFont="1" applyFill="1" applyBorder="1" applyAlignment="1">
      <alignment horizontal="center" vertical="top"/>
    </xf>
    <xf numFmtId="43" fontId="31" fillId="0" borderId="12" xfId="1" applyFont="1" applyFill="1" applyBorder="1" applyAlignment="1">
      <alignment vertical="center"/>
    </xf>
    <xf numFmtId="3" fontId="31" fillId="25" borderId="133" xfId="0" applyNumberFormat="1" applyFont="1" applyFill="1" applyBorder="1" applyAlignment="1">
      <alignment vertical="top"/>
    </xf>
    <xf numFmtId="43" fontId="25" fillId="6" borderId="181" xfId="1" applyFont="1" applyFill="1" applyBorder="1" applyAlignment="1"/>
    <xf numFmtId="3" fontId="27" fillId="2" borderId="171" xfId="0" applyNumberFormat="1" applyFont="1" applyFill="1" applyBorder="1" applyAlignment="1">
      <alignment vertical="center"/>
    </xf>
    <xf numFmtId="43" fontId="27" fillId="2" borderId="181" xfId="1" applyFont="1" applyFill="1" applyBorder="1" applyAlignment="1">
      <alignment vertical="center"/>
    </xf>
    <xf numFmtId="3" fontId="31" fillId="2" borderId="138" xfId="0" applyNumberFormat="1" applyFont="1" applyFill="1" applyBorder="1" applyAlignment="1">
      <alignment vertical="center"/>
    </xf>
    <xf numFmtId="43" fontId="31" fillId="0" borderId="181" xfId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43" fontId="31" fillId="0" borderId="134" xfId="1" applyFont="1" applyFill="1" applyBorder="1" applyAlignment="1">
      <alignment vertical="center"/>
    </xf>
    <xf numFmtId="3" fontId="27" fillId="26" borderId="174" xfId="0" applyNumberFormat="1" applyFont="1" applyFill="1" applyBorder="1" applyAlignment="1"/>
    <xf numFmtId="3" fontId="31" fillId="25" borderId="140" xfId="0" applyNumberFormat="1" applyFont="1" applyFill="1" applyBorder="1" applyAlignment="1">
      <alignment horizontal="center" vertical="top"/>
    </xf>
    <xf numFmtId="43" fontId="25" fillId="2" borderId="171" xfId="1" applyFont="1" applyFill="1" applyBorder="1" applyAlignment="1"/>
    <xf numFmtId="43" fontId="25" fillId="2" borderId="144" xfId="1" applyFont="1" applyFill="1" applyBorder="1" applyAlignment="1"/>
    <xf numFmtId="0" fontId="7" fillId="0" borderId="77" xfId="4" applyFont="1" applyFill="1" applyBorder="1" applyAlignment="1">
      <alignment horizontal="left"/>
    </xf>
    <xf numFmtId="43" fontId="31" fillId="0" borderId="23" xfId="1" applyFont="1" applyFill="1" applyBorder="1" applyAlignment="1">
      <alignment vertical="top"/>
    </xf>
    <xf numFmtId="3" fontId="27" fillId="2" borderId="175" xfId="0" applyNumberFormat="1" applyFont="1" applyFill="1" applyBorder="1" applyAlignment="1"/>
    <xf numFmtId="3" fontId="25" fillId="22" borderId="174" xfId="0" applyNumberFormat="1" applyFont="1" applyFill="1" applyBorder="1" applyAlignment="1">
      <alignment vertical="center"/>
    </xf>
    <xf numFmtId="0" fontId="7" fillId="0" borderId="135" xfId="0" applyFont="1" applyFill="1" applyBorder="1" applyAlignment="1">
      <alignment vertical="center"/>
    </xf>
    <xf numFmtId="3" fontId="31" fillId="0" borderId="138" xfId="0" applyNumberFormat="1" applyFont="1" applyFill="1" applyBorder="1" applyAlignment="1">
      <alignment vertical="center"/>
    </xf>
    <xf numFmtId="43" fontId="31" fillId="0" borderId="138" xfId="1" applyFont="1" applyFill="1" applyBorder="1" applyAlignment="1">
      <alignment vertical="center"/>
    </xf>
    <xf numFmtId="3" fontId="31" fillId="23" borderId="41" xfId="0" applyNumberFormat="1" applyFont="1" applyFill="1" applyBorder="1" applyAlignment="1"/>
    <xf numFmtId="3" fontId="31" fillId="0" borderId="173" xfId="0" applyNumberFormat="1" applyFont="1" applyFill="1" applyBorder="1" applyAlignment="1">
      <alignment vertical="center"/>
    </xf>
    <xf numFmtId="43" fontId="27" fillId="2" borderId="171" xfId="1" applyFont="1" applyFill="1" applyBorder="1" applyAlignment="1">
      <alignment vertical="center"/>
    </xf>
    <xf numFmtId="3" fontId="31" fillId="25" borderId="177" xfId="0" applyNumberFormat="1" applyFont="1" applyFill="1" applyBorder="1" applyAlignment="1">
      <alignment horizontal="center" vertical="top"/>
    </xf>
    <xf numFmtId="3" fontId="31" fillId="23" borderId="150" xfId="0" applyNumberFormat="1" applyFont="1" applyFill="1" applyBorder="1" applyAlignment="1"/>
    <xf numFmtId="3" fontId="25" fillId="8" borderId="17" xfId="0" applyNumberFormat="1" applyFont="1" applyFill="1" applyBorder="1" applyAlignment="1">
      <alignment vertical="top"/>
    </xf>
    <xf numFmtId="3" fontId="31" fillId="23" borderId="45" xfId="0" applyNumberFormat="1" applyFont="1" applyFill="1" applyBorder="1" applyAlignment="1"/>
    <xf numFmtId="3" fontId="25" fillId="6" borderId="183" xfId="0" applyNumberFormat="1" applyFont="1" applyFill="1" applyBorder="1" applyAlignment="1"/>
    <xf numFmtId="3" fontId="25" fillId="22" borderId="177" xfId="0" applyNumberFormat="1" applyFont="1" applyFill="1" applyBorder="1" applyAlignment="1"/>
    <xf numFmtId="3" fontId="27" fillId="2" borderId="183" xfId="0" applyNumberFormat="1" applyFont="1" applyFill="1" applyBorder="1" applyAlignment="1">
      <alignment vertical="center"/>
    </xf>
    <xf numFmtId="3" fontId="31" fillId="0" borderId="183" xfId="0" applyNumberFormat="1" applyFont="1" applyFill="1" applyBorder="1" applyAlignment="1">
      <alignment vertical="center"/>
    </xf>
    <xf numFmtId="0" fontId="59" fillId="0" borderId="0" xfId="0" applyFont="1" applyFill="1" applyBorder="1" applyAlignment="1">
      <alignment vertical="top"/>
    </xf>
    <xf numFmtId="0" fontId="40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71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71" xfId="0" applyNumberFormat="1" applyFont="1" applyBorder="1" applyAlignment="1">
      <alignment vertical="top"/>
    </xf>
    <xf numFmtId="3" fontId="59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 wrapText="1"/>
    </xf>
    <xf numFmtId="3" fontId="27" fillId="25" borderId="172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top"/>
    </xf>
    <xf numFmtId="0" fontId="21" fillId="0" borderId="3" xfId="0" applyFont="1" applyBorder="1" applyAlignment="1">
      <alignment horizontal="center" vertical="top"/>
    </xf>
    <xf numFmtId="0" fontId="24" fillId="2" borderId="2" xfId="0" applyFont="1" applyFill="1" applyBorder="1" applyAlignment="1">
      <alignment horizontal="center" vertical="center" wrapText="1"/>
    </xf>
    <xf numFmtId="0" fontId="24" fillId="2" borderId="70" xfId="0" applyFont="1" applyFill="1" applyBorder="1" applyAlignment="1">
      <alignment horizontal="center" vertical="center" wrapText="1"/>
    </xf>
    <xf numFmtId="0" fontId="25" fillId="2" borderId="70" xfId="0" applyFont="1" applyFill="1" applyBorder="1" applyAlignment="1">
      <alignment horizontal="center" vertical="center" wrapText="1"/>
    </xf>
    <xf numFmtId="3" fontId="24" fillId="22" borderId="171" xfId="4" applyNumberFormat="1" applyFont="1" applyFill="1" applyBorder="1" applyAlignment="1">
      <alignment horizontal="center" vertical="center"/>
    </xf>
    <xf numFmtId="3" fontId="24" fillId="22" borderId="131" xfId="4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3" fontId="25" fillId="8" borderId="15" xfId="0" applyNumberFormat="1" applyFont="1" applyFill="1" applyBorder="1" applyAlignment="1">
      <alignment vertical="top"/>
    </xf>
    <xf numFmtId="3" fontId="31" fillId="8" borderId="13" xfId="0" applyNumberFormat="1" applyFont="1" applyFill="1" applyBorder="1" applyAlignment="1"/>
    <xf numFmtId="0" fontId="17" fillId="2" borderId="11" xfId="0" quotePrefix="1" applyFont="1" applyFill="1" applyBorder="1" applyAlignment="1">
      <alignment horizontal="center" vertical="center" wrapText="1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horizontal="center" vertical="center" wrapText="1"/>
    </xf>
    <xf numFmtId="0" fontId="0" fillId="0" borderId="11" xfId="0" applyFont="1" applyBorder="1"/>
    <xf numFmtId="0" fontId="24" fillId="0" borderId="6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7" fillId="2" borderId="11" xfId="0" applyFont="1" applyFill="1" applyBorder="1" applyAlignment="1">
      <alignment horizontal="center" vertical="center"/>
    </xf>
    <xf numFmtId="0" fontId="32" fillId="0" borderId="138" xfId="0" applyFont="1" applyBorder="1" applyAlignment="1">
      <alignment horizontal="center" vertical="center"/>
    </xf>
    <xf numFmtId="0" fontId="18" fillId="0" borderId="13" xfId="4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/>
    </xf>
    <xf numFmtId="0" fontId="24" fillId="0" borderId="43" xfId="4" quotePrefix="1" applyFont="1" applyFill="1" applyBorder="1" applyAlignment="1">
      <alignment horizontal="center" vertical="center"/>
    </xf>
    <xf numFmtId="0" fontId="24" fillId="2" borderId="176" xfId="4" applyFont="1" applyFill="1" applyBorder="1" applyAlignment="1">
      <alignment horizontal="center" vertical="center" wrapText="1"/>
    </xf>
    <xf numFmtId="0" fontId="18" fillId="0" borderId="35" xfId="4" applyFont="1" applyFill="1" applyBorder="1" applyAlignment="1">
      <alignment horizontal="center" vertical="center" wrapText="1"/>
    </xf>
    <xf numFmtId="0" fontId="18" fillId="0" borderId="138" xfId="4" applyFont="1" applyFill="1" applyBorder="1" applyAlignment="1">
      <alignment horizontal="center" vertical="center" wrapText="1"/>
    </xf>
    <xf numFmtId="3" fontId="24" fillId="34" borderId="171" xfId="4" applyNumberFormat="1" applyFont="1" applyFill="1" applyBorder="1" applyAlignment="1">
      <alignment horizontal="center" vertical="center"/>
    </xf>
    <xf numFmtId="0" fontId="25" fillId="32" borderId="35" xfId="4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5" fillId="0" borderId="12" xfId="4" applyFont="1" applyBorder="1" applyAlignment="1">
      <alignment horizontal="center" vertical="center" wrapText="1"/>
    </xf>
    <xf numFmtId="0" fontId="0" fillId="0" borderId="11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5" fillId="0" borderId="12" xfId="4" applyFont="1" applyBorder="1" applyAlignment="1">
      <alignment horizontal="center" vertical="center" wrapText="1"/>
    </xf>
    <xf numFmtId="43" fontId="27" fillId="2" borderId="139" xfId="1" applyFont="1" applyFill="1" applyBorder="1" applyAlignment="1">
      <alignment vertical="center"/>
    </xf>
    <xf numFmtId="3" fontId="31" fillId="8" borderId="17" xfId="0" applyNumberFormat="1" applyFont="1" applyFill="1" applyBorder="1" applyAlignment="1">
      <alignment vertical="top"/>
    </xf>
    <xf numFmtId="3" fontId="7" fillId="8" borderId="17" xfId="0" applyNumberFormat="1" applyFont="1" applyFill="1" applyBorder="1" applyAlignment="1">
      <alignment vertical="top"/>
    </xf>
    <xf numFmtId="43" fontId="32" fillId="0" borderId="173" xfId="6" applyNumberFormat="1" applyFont="1" applyFill="1" applyBorder="1" applyAlignment="1">
      <alignment vertical="center"/>
    </xf>
    <xf numFmtId="3" fontId="85" fillId="0" borderId="0" xfId="0" applyNumberFormat="1" applyFont="1" applyFill="1" applyBorder="1" applyAlignment="1">
      <alignment vertical="center" wrapText="1"/>
    </xf>
    <xf numFmtId="3" fontId="83" fillId="0" borderId="0" xfId="0" applyNumberFormat="1" applyFont="1" applyBorder="1"/>
    <xf numFmtId="0" fontId="36" fillId="0" borderId="0" xfId="0" applyFont="1" applyAlignment="1">
      <alignment horizontal="right"/>
    </xf>
    <xf numFmtId="0" fontId="36" fillId="0" borderId="0" xfId="0" applyFont="1" applyBorder="1" applyAlignment="1">
      <alignment horizontal="right"/>
    </xf>
    <xf numFmtId="0" fontId="69" fillId="0" borderId="0" xfId="0" applyFont="1" applyBorder="1"/>
    <xf numFmtId="3" fontId="25" fillId="2" borderId="172" xfId="0" applyNumberFormat="1" applyFont="1" applyFill="1" applyBorder="1" applyAlignment="1">
      <alignment vertical="center"/>
    </xf>
    <xf numFmtId="4" fontId="0" fillId="0" borderId="139" xfId="0" applyNumberFormat="1" applyFont="1" applyBorder="1"/>
    <xf numFmtId="3" fontId="13" fillId="0" borderId="0" xfId="0" applyNumberFormat="1" applyFont="1" applyFill="1" applyAlignment="1">
      <alignment horizontal="left"/>
    </xf>
    <xf numFmtId="3" fontId="29" fillId="0" borderId="188" xfId="0" applyNumberFormat="1" applyFont="1" applyFill="1" applyBorder="1" applyAlignment="1">
      <alignment horizontal="right" vertical="center"/>
    </xf>
    <xf numFmtId="3" fontId="40" fillId="0" borderId="188" xfId="0" applyNumberFormat="1" applyFont="1" applyFill="1" applyBorder="1" applyAlignment="1">
      <alignment vertical="center"/>
    </xf>
    <xf numFmtId="3" fontId="24" fillId="6" borderId="188" xfId="0" applyNumberFormat="1" applyFont="1" applyFill="1" applyBorder="1" applyAlignment="1">
      <alignment vertical="center"/>
    </xf>
    <xf numFmtId="3" fontId="29" fillId="0" borderId="188" xfId="0" applyNumberFormat="1" applyFont="1" applyFill="1" applyBorder="1" applyAlignment="1">
      <alignment vertical="center"/>
    </xf>
    <xf numFmtId="0" fontId="71" fillId="6" borderId="176" xfId="4" applyFont="1" applyFill="1" applyBorder="1" applyAlignment="1">
      <alignment horizontal="left"/>
    </xf>
    <xf numFmtId="3" fontId="64" fillId="6" borderId="188" xfId="0" applyNumberFormat="1" applyFont="1" applyFill="1" applyBorder="1" applyAlignment="1">
      <alignment wrapText="1"/>
    </xf>
    <xf numFmtId="3" fontId="64" fillId="6" borderId="177" xfId="0" applyNumberFormat="1" applyFont="1" applyFill="1" applyBorder="1" applyAlignment="1">
      <alignment wrapText="1"/>
    </xf>
    <xf numFmtId="3" fontId="69" fillId="8" borderId="172" xfId="0" applyNumberFormat="1" applyFont="1" applyFill="1" applyBorder="1" applyAlignment="1">
      <alignment vertical="center" wrapText="1"/>
    </xf>
    <xf numFmtId="3" fontId="69" fillId="8" borderId="177" xfId="0" applyNumberFormat="1" applyFont="1" applyFill="1" applyBorder="1" applyAlignment="1">
      <alignment vertical="center" wrapText="1"/>
    </xf>
    <xf numFmtId="3" fontId="8" fillId="0" borderId="188" xfId="0" applyNumberFormat="1" applyFont="1" applyFill="1" applyBorder="1" applyAlignment="1">
      <alignment vertical="center" wrapText="1"/>
    </xf>
    <xf numFmtId="3" fontId="69" fillId="8" borderId="188" xfId="0" applyNumberFormat="1" applyFont="1" applyFill="1" applyBorder="1" applyAlignment="1">
      <alignment vertical="center" wrapText="1"/>
    </xf>
    <xf numFmtId="0" fontId="7" fillId="0" borderId="176" xfId="0" applyFont="1" applyFill="1" applyBorder="1" applyAlignment="1">
      <alignment vertical="center" wrapText="1"/>
    </xf>
    <xf numFmtId="3" fontId="8" fillId="0" borderId="172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vertical="center" wrapText="1"/>
    </xf>
    <xf numFmtId="3" fontId="8" fillId="0" borderId="148" xfId="0" applyNumberFormat="1" applyFont="1" applyFill="1" applyBorder="1" applyAlignment="1">
      <alignment vertical="center" wrapText="1"/>
    </xf>
    <xf numFmtId="3" fontId="8" fillId="0" borderId="69" xfId="0" applyNumberFormat="1" applyFont="1" applyFill="1" applyBorder="1" applyAlignment="1">
      <alignment vertical="center" wrapText="1"/>
    </xf>
    <xf numFmtId="3" fontId="40" fillId="0" borderId="78" xfId="4" applyNumberFormat="1" applyFont="1" applyFill="1" applyBorder="1" applyAlignment="1">
      <alignment horizontal="right" vertical="center"/>
    </xf>
    <xf numFmtId="43" fontId="31" fillId="0" borderId="139" xfId="1" applyFont="1" applyFill="1" applyBorder="1" applyAlignment="1">
      <alignment vertical="center"/>
    </xf>
    <xf numFmtId="3" fontId="31" fillId="2" borderId="71" xfId="4" applyNumberFormat="1" applyFont="1" applyFill="1" applyBorder="1" applyAlignment="1">
      <alignment vertical="center"/>
    </xf>
    <xf numFmtId="43" fontId="31" fillId="0" borderId="0" xfId="1" applyFont="1" applyFill="1" applyBorder="1" applyAlignment="1">
      <alignment vertical="center"/>
    </xf>
    <xf numFmtId="4" fontId="31" fillId="0" borderId="131" xfId="4" applyNumberFormat="1" applyFont="1" applyFill="1" applyBorder="1" applyAlignment="1">
      <alignment vertical="center"/>
    </xf>
    <xf numFmtId="3" fontId="31" fillId="0" borderId="182" xfId="4" applyNumberFormat="1" applyFont="1" applyFill="1" applyBorder="1" applyAlignment="1">
      <alignment vertical="center"/>
    </xf>
    <xf numFmtId="3" fontId="34" fillId="2" borderId="51" xfId="0" applyNumberFormat="1" applyFont="1" applyFill="1" applyBorder="1" applyAlignment="1">
      <alignment vertical="top"/>
    </xf>
    <xf numFmtId="3" fontId="31" fillId="2" borderId="139" xfId="0" applyNumberFormat="1" applyFont="1" applyFill="1" applyBorder="1" applyAlignment="1">
      <alignment vertical="top"/>
    </xf>
    <xf numFmtId="3" fontId="28" fillId="2" borderId="131" xfId="0" applyNumberFormat="1" applyFont="1" applyFill="1" applyBorder="1" applyAlignment="1">
      <alignment vertical="top"/>
    </xf>
    <xf numFmtId="0" fontId="24" fillId="8" borderId="188" xfId="0" applyFont="1" applyFill="1" applyBorder="1" applyAlignment="1">
      <alignment vertical="center" wrapText="1"/>
    </xf>
    <xf numFmtId="3" fontId="25" fillId="8" borderId="188" xfId="4" applyNumberFormat="1" applyFont="1" applyFill="1" applyBorder="1" applyAlignment="1">
      <alignment horizontal="center" vertical="center"/>
    </xf>
    <xf numFmtId="0" fontId="7" fillId="8" borderId="188" xfId="0" applyFont="1" applyFill="1" applyBorder="1" applyAlignment="1">
      <alignment vertical="top"/>
    </xf>
    <xf numFmtId="3" fontId="7" fillId="8" borderId="188" xfId="0" applyNumberFormat="1" applyFont="1" applyFill="1" applyBorder="1" applyAlignment="1">
      <alignment vertical="top"/>
    </xf>
    <xf numFmtId="3" fontId="7" fillId="23" borderId="188" xfId="0" applyNumberFormat="1" applyFont="1" applyFill="1" applyBorder="1" applyAlignment="1">
      <alignment vertical="top"/>
    </xf>
    <xf numFmtId="0" fontId="7" fillId="0" borderId="188" xfId="4" applyFont="1" applyFill="1" applyBorder="1" applyAlignment="1">
      <alignment horizontal="left" vertical="center"/>
    </xf>
    <xf numFmtId="3" fontId="7" fillId="2" borderId="188" xfId="4" applyNumberFormat="1" applyFont="1" applyFill="1" applyBorder="1" applyAlignment="1">
      <alignment horizontal="right" vertical="center"/>
    </xf>
    <xf numFmtId="3" fontId="7" fillId="25" borderId="188" xfId="4" applyNumberFormat="1" applyFont="1" applyFill="1" applyBorder="1" applyAlignment="1">
      <alignment vertical="center"/>
    </xf>
    <xf numFmtId="3" fontId="27" fillId="0" borderId="172" xfId="0" applyNumberFormat="1" applyFont="1" applyFill="1" applyBorder="1" applyAlignment="1">
      <alignment vertical="center"/>
    </xf>
    <xf numFmtId="0" fontId="24" fillId="2" borderId="79" xfId="112" applyFont="1" applyFill="1" applyBorder="1" applyAlignment="1">
      <alignment horizontal="center" vertical="center" wrapText="1"/>
    </xf>
    <xf numFmtId="0" fontId="24" fillId="32" borderId="12" xfId="4" applyFont="1" applyFill="1" applyBorder="1" applyAlignment="1">
      <alignment horizontal="center" vertical="center" wrapText="1"/>
    </xf>
    <xf numFmtId="3" fontId="31" fillId="0" borderId="138" xfId="0" applyNumberFormat="1" applyFont="1" applyFill="1" applyBorder="1" applyAlignment="1">
      <alignment horizontal="right" vertical="center"/>
    </xf>
    <xf numFmtId="0" fontId="7" fillId="8" borderId="79" xfId="0" applyFont="1" applyFill="1" applyBorder="1" applyAlignment="1">
      <alignment vertical="top"/>
    </xf>
    <xf numFmtId="3" fontId="31" fillId="2" borderId="171" xfId="0" applyNumberFormat="1" applyFont="1" applyFill="1" applyBorder="1" applyAlignment="1"/>
    <xf numFmtId="0" fontId="19" fillId="2" borderId="15" xfId="0" applyFont="1" applyFill="1" applyBorder="1" applyAlignment="1">
      <alignment horizontal="center" vertical="center" wrapText="1"/>
    </xf>
    <xf numFmtId="3" fontId="7" fillId="0" borderId="91" xfId="4" applyNumberFormat="1" applyFont="1" applyFill="1" applyBorder="1" applyAlignment="1">
      <alignment horizontal="right" vertical="center"/>
    </xf>
    <xf numFmtId="43" fontId="18" fillId="8" borderId="79" xfId="1" applyFont="1" applyFill="1" applyBorder="1" applyAlignment="1">
      <alignment vertical="center"/>
    </xf>
    <xf numFmtId="43" fontId="7" fillId="8" borderId="79" xfId="1" applyFont="1" applyFill="1" applyBorder="1" applyAlignment="1">
      <alignment vertical="center"/>
    </xf>
    <xf numFmtId="43" fontId="31" fillId="0" borderId="173" xfId="1" applyFont="1" applyFill="1" applyBorder="1" applyAlignment="1"/>
    <xf numFmtId="41" fontId="31" fillId="0" borderId="173" xfId="1" applyNumberFormat="1" applyFont="1" applyFill="1" applyBorder="1" applyAlignment="1"/>
    <xf numFmtId="41" fontId="31" fillId="0" borderId="173" xfId="1" applyNumberFormat="1" applyFont="1" applyFill="1" applyBorder="1" applyAlignment="1">
      <alignment horizontal="right" vertical="center"/>
    </xf>
    <xf numFmtId="41" fontId="31" fillId="0" borderId="29" xfId="1" applyNumberFormat="1" applyFont="1" applyFill="1" applyBorder="1" applyAlignment="1"/>
    <xf numFmtId="0" fontId="21" fillId="2" borderId="35" xfId="0" quotePrefix="1" applyFont="1" applyFill="1" applyBorder="1" applyAlignment="1">
      <alignment horizontal="center" vertical="top"/>
    </xf>
    <xf numFmtId="3" fontId="24" fillId="6" borderId="192" xfId="4" applyNumberFormat="1" applyFont="1" applyFill="1" applyBorder="1" applyAlignment="1">
      <alignment vertical="center"/>
    </xf>
    <xf numFmtId="3" fontId="25" fillId="6" borderId="189" xfId="4" applyNumberFormat="1" applyFont="1" applyFill="1" applyBorder="1" applyAlignment="1">
      <alignment vertical="center"/>
    </xf>
    <xf numFmtId="3" fontId="25" fillId="6" borderId="190" xfId="4" applyNumberFormat="1" applyFont="1" applyFill="1" applyBorder="1" applyAlignment="1">
      <alignment vertical="center"/>
    </xf>
    <xf numFmtId="3" fontId="29" fillId="0" borderId="191" xfId="4" applyNumberFormat="1" applyFont="1" applyFill="1" applyBorder="1" applyAlignment="1">
      <alignment horizontal="right" vertical="center"/>
    </xf>
    <xf numFmtId="3" fontId="31" fillId="0" borderId="193" xfId="4" applyNumberFormat="1" applyFont="1" applyFill="1" applyBorder="1" applyAlignment="1">
      <alignment vertical="center"/>
    </xf>
    <xf numFmtId="3" fontId="7" fillId="0" borderId="188" xfId="4" applyNumberFormat="1" applyFont="1" applyFill="1" applyBorder="1" applyAlignment="1"/>
    <xf numFmtId="3" fontId="29" fillId="0" borderId="195" xfId="4" applyNumberFormat="1" applyFont="1" applyFill="1" applyBorder="1" applyAlignment="1">
      <alignment horizontal="right" vertical="center"/>
    </xf>
    <xf numFmtId="3" fontId="29" fillId="0" borderId="196" xfId="4" applyNumberFormat="1" applyFont="1" applyFill="1" applyBorder="1" applyAlignment="1">
      <alignment horizontal="right" vertical="center"/>
    </xf>
    <xf numFmtId="3" fontId="27" fillId="0" borderId="195" xfId="4" applyNumberFormat="1" applyFont="1" applyFill="1" applyBorder="1" applyAlignment="1">
      <alignment horizontal="right" vertical="center"/>
    </xf>
    <xf numFmtId="3" fontId="27" fillId="25" borderId="197" xfId="4" applyNumberFormat="1" applyFont="1" applyFill="1" applyBorder="1" applyAlignment="1">
      <alignment horizontal="right" vertical="center"/>
    </xf>
    <xf numFmtId="3" fontId="31" fillId="0" borderId="198" xfId="4" applyNumberFormat="1" applyFont="1" applyFill="1" applyBorder="1" applyAlignment="1">
      <alignment horizontal="right" vertical="center"/>
    </xf>
    <xf numFmtId="3" fontId="7" fillId="0" borderId="198" xfId="4" applyNumberFormat="1" applyFont="1" applyFill="1" applyBorder="1" applyAlignment="1">
      <alignment horizontal="right" vertical="center"/>
    </xf>
    <xf numFmtId="3" fontId="7" fillId="25" borderId="197" xfId="4" applyNumberFormat="1" applyFont="1" applyFill="1" applyBorder="1" applyAlignment="1">
      <alignment vertical="center"/>
    </xf>
    <xf numFmtId="3" fontId="24" fillId="6" borderId="194" xfId="4" applyNumberFormat="1" applyFont="1" applyFill="1" applyBorder="1" applyAlignment="1">
      <alignment vertical="center"/>
    </xf>
    <xf numFmtId="3" fontId="24" fillId="6" borderId="195" xfId="4" applyNumberFormat="1" applyFont="1" applyFill="1" applyBorder="1" applyAlignment="1">
      <alignment vertical="center"/>
    </xf>
    <xf numFmtId="3" fontId="24" fillId="6" borderId="196" xfId="4" applyNumberFormat="1" applyFont="1" applyFill="1" applyBorder="1" applyAlignment="1">
      <alignment vertical="center"/>
    </xf>
    <xf numFmtId="3" fontId="24" fillId="6" borderId="197" xfId="4" applyNumberFormat="1" applyFont="1" applyFill="1" applyBorder="1" applyAlignment="1">
      <alignment vertical="center"/>
    </xf>
    <xf numFmtId="3" fontId="29" fillId="0" borderId="197" xfId="4" applyNumberFormat="1" applyFont="1" applyFill="1" applyBorder="1" applyAlignment="1">
      <alignment horizontal="right" vertical="center"/>
    </xf>
    <xf numFmtId="3" fontId="29" fillId="0" borderId="198" xfId="4" applyNumberFormat="1" applyFont="1" applyFill="1" applyBorder="1" applyAlignment="1">
      <alignment horizontal="right" vertical="center"/>
    </xf>
    <xf numFmtId="3" fontId="7" fillId="0" borderId="197" xfId="4" applyNumberFormat="1" applyFont="1" applyFill="1" applyBorder="1" applyAlignment="1"/>
    <xf numFmtId="0" fontId="0" fillId="0" borderId="0" xfId="0" applyFont="1" applyBorder="1"/>
    <xf numFmtId="0" fontId="71" fillId="37" borderId="88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  <xf numFmtId="0" fontId="76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3" fontId="81" fillId="6" borderId="197" xfId="0" applyNumberFormat="1" applyFont="1" applyFill="1" applyBorder="1" applyAlignment="1">
      <alignment vertical="center" wrapText="1"/>
    </xf>
    <xf numFmtId="3" fontId="6" fillId="6" borderId="197" xfId="0" applyNumberFormat="1" applyFont="1" applyFill="1" applyBorder="1"/>
    <xf numFmtId="3" fontId="6" fillId="6" borderId="197" xfId="0" applyNumberFormat="1" applyFont="1" applyFill="1" applyBorder="1" applyAlignment="1">
      <alignment vertical="center"/>
    </xf>
    <xf numFmtId="3" fontId="6" fillId="6" borderId="200" xfId="0" applyNumberFormat="1" applyFont="1" applyFill="1" applyBorder="1"/>
    <xf numFmtId="3" fontId="6" fillId="6" borderId="131" xfId="0" applyNumberFormat="1" applyFont="1" applyFill="1" applyBorder="1"/>
    <xf numFmtId="0" fontId="7" fillId="6" borderId="28" xfId="0" applyFont="1" applyFill="1" applyBorder="1" applyAlignment="1">
      <alignment vertical="center"/>
    </xf>
    <xf numFmtId="0" fontId="24" fillId="6" borderId="197" xfId="4" applyFont="1" applyFill="1" applyBorder="1" applyAlignment="1">
      <alignment horizontal="left" vertical="center"/>
    </xf>
    <xf numFmtId="3" fontId="24" fillId="6" borderId="197" xfId="4" applyNumberFormat="1" applyFont="1" applyFill="1" applyBorder="1" applyAlignment="1">
      <alignment horizontal="right" vertical="center"/>
    </xf>
    <xf numFmtId="3" fontId="25" fillId="6" borderId="197" xfId="4" applyNumberFormat="1" applyFont="1" applyFill="1" applyBorder="1" applyAlignment="1">
      <alignment horizontal="right" vertical="center"/>
    </xf>
    <xf numFmtId="3" fontId="25" fillId="22" borderId="197" xfId="4" applyNumberFormat="1" applyFont="1" applyFill="1" applyBorder="1" applyAlignment="1">
      <alignment horizontal="right" vertical="center"/>
    </xf>
    <xf numFmtId="3" fontId="29" fillId="2" borderId="197" xfId="4" applyNumberFormat="1" applyFont="1" applyFill="1" applyBorder="1" applyAlignment="1">
      <alignment vertical="top" wrapText="1"/>
    </xf>
    <xf numFmtId="3" fontId="27" fillId="0" borderId="197" xfId="4" applyNumberFormat="1" applyFont="1" applyFill="1" applyBorder="1" applyAlignment="1">
      <alignment horizontal="right" vertical="center"/>
    </xf>
    <xf numFmtId="3" fontId="27" fillId="23" borderId="197" xfId="4" applyNumberFormat="1" applyFont="1" applyFill="1" applyBorder="1" applyAlignment="1">
      <alignment horizontal="right" vertical="center"/>
    </xf>
    <xf numFmtId="0" fontId="7" fillId="0" borderId="197" xfId="4" applyFont="1" applyFill="1" applyBorder="1" applyAlignment="1">
      <alignment vertical="top"/>
    </xf>
    <xf numFmtId="3" fontId="31" fillId="0" borderId="195" xfId="4" applyNumberFormat="1" applyFont="1" applyFill="1" applyBorder="1" applyAlignment="1">
      <alignment vertical="center"/>
    </xf>
    <xf numFmtId="3" fontId="31" fillId="0" borderId="197" xfId="4" applyNumberFormat="1" applyFont="1" applyFill="1" applyBorder="1" applyAlignment="1">
      <alignment horizontal="right" vertical="center"/>
    </xf>
    <xf numFmtId="3" fontId="7" fillId="0" borderId="197" xfId="4" applyNumberFormat="1" applyFont="1" applyFill="1" applyBorder="1" applyAlignment="1">
      <alignment horizontal="right" vertical="center"/>
    </xf>
    <xf numFmtId="3" fontId="7" fillId="25" borderId="197" xfId="4" applyNumberFormat="1" applyFont="1" applyFill="1" applyBorder="1" applyAlignment="1">
      <alignment horizontal="right" vertical="center"/>
    </xf>
    <xf numFmtId="3" fontId="32" fillId="0" borderId="197" xfId="6" applyNumberFormat="1" applyFont="1" applyFill="1" applyBorder="1" applyAlignment="1">
      <alignment vertical="center"/>
    </xf>
    <xf numFmtId="3" fontId="33" fillId="0" borderId="197" xfId="6" applyNumberFormat="1" applyFont="1" applyFill="1" applyBorder="1" applyAlignment="1">
      <alignment vertical="center"/>
    </xf>
    <xf numFmtId="3" fontId="33" fillId="23" borderId="197" xfId="6" applyNumberFormat="1" applyFont="1" applyFill="1" applyBorder="1" applyAlignment="1">
      <alignment vertical="center"/>
    </xf>
    <xf numFmtId="0" fontId="25" fillId="6" borderId="197" xfId="4" applyFont="1" applyFill="1" applyBorder="1" applyAlignment="1">
      <alignment horizontal="left" vertical="center"/>
    </xf>
    <xf numFmtId="3" fontId="24" fillId="6" borderId="197" xfId="4" applyNumberFormat="1" applyFont="1" applyFill="1" applyBorder="1" applyAlignment="1"/>
    <xf numFmtId="0" fontId="24" fillId="8" borderId="197" xfId="4" applyFont="1" applyFill="1" applyBorder="1" applyAlignment="1">
      <alignment vertical="center" wrapText="1"/>
    </xf>
    <xf numFmtId="0" fontId="24" fillId="8" borderId="197" xfId="4" applyFont="1" applyFill="1" applyBorder="1" applyAlignment="1">
      <alignment horizontal="center" vertical="center" wrapText="1"/>
    </xf>
    <xf numFmtId="3" fontId="7" fillId="8" borderId="197" xfId="4" applyNumberFormat="1" applyFont="1" applyFill="1" applyBorder="1" applyAlignment="1">
      <alignment horizontal="right" vertical="center"/>
    </xf>
    <xf numFmtId="3" fontId="24" fillId="8" borderId="197" xfId="4" applyNumberFormat="1" applyFont="1" applyFill="1" applyBorder="1" applyAlignment="1">
      <alignment horizontal="right" vertical="center"/>
    </xf>
    <xf numFmtId="3" fontId="24" fillId="22" borderId="197" xfId="4" applyNumberFormat="1" applyFont="1" applyFill="1" applyBorder="1" applyAlignment="1">
      <alignment horizontal="right" vertical="center"/>
    </xf>
    <xf numFmtId="0" fontId="29" fillId="2" borderId="197" xfId="4" applyFont="1" applyFill="1" applyBorder="1" applyAlignment="1">
      <alignment vertical="top"/>
    </xf>
    <xf numFmtId="3" fontId="33" fillId="25" borderId="197" xfId="6" applyNumberFormat="1" applyFont="1" applyFill="1" applyBorder="1" applyAlignment="1">
      <alignment vertical="center"/>
    </xf>
    <xf numFmtId="0" fontId="0" fillId="0" borderId="9" xfId="0" applyFont="1" applyBorder="1"/>
    <xf numFmtId="0" fontId="31" fillId="6" borderId="194" xfId="0" applyFont="1" applyFill="1" applyBorder="1" applyAlignment="1">
      <alignment vertical="top"/>
    </xf>
    <xf numFmtId="3" fontId="25" fillId="6" borderId="195" xfId="0" applyNumberFormat="1" applyFont="1" applyFill="1" applyBorder="1" applyAlignment="1">
      <alignment vertical="top"/>
    </xf>
    <xf numFmtId="43" fontId="25" fillId="6" borderId="195" xfId="1" applyFont="1" applyFill="1" applyBorder="1" applyAlignment="1">
      <alignment vertical="top"/>
    </xf>
    <xf numFmtId="3" fontId="25" fillId="22" borderId="195" xfId="0" applyNumberFormat="1" applyFont="1" applyFill="1" applyBorder="1" applyAlignment="1">
      <alignment vertical="top"/>
    </xf>
    <xf numFmtId="3" fontId="27" fillId="2" borderId="203" xfId="0" applyNumberFormat="1" applyFont="1" applyFill="1" applyBorder="1" applyAlignment="1">
      <alignment vertical="top"/>
    </xf>
    <xf numFmtId="43" fontId="27" fillId="2" borderId="203" xfId="1" applyFont="1" applyFill="1" applyBorder="1" applyAlignment="1">
      <alignment vertical="top"/>
    </xf>
    <xf numFmtId="3" fontId="25" fillId="25" borderId="204" xfId="0" applyNumberFormat="1" applyFont="1" applyFill="1" applyBorder="1" applyAlignment="1">
      <alignment vertical="top"/>
    </xf>
    <xf numFmtId="3" fontId="28" fillId="2" borderId="203" xfId="0" applyNumberFormat="1" applyFont="1" applyFill="1" applyBorder="1" applyAlignment="1">
      <alignment vertical="top"/>
    </xf>
    <xf numFmtId="3" fontId="31" fillId="0" borderId="203" xfId="0" applyNumberFormat="1" applyFont="1" applyFill="1" applyBorder="1" applyAlignment="1">
      <alignment vertical="top"/>
    </xf>
    <xf numFmtId="3" fontId="31" fillId="25" borderId="204" xfId="0" applyNumberFormat="1" applyFont="1" applyFill="1" applyBorder="1" applyAlignment="1">
      <alignment vertical="top"/>
    </xf>
    <xf numFmtId="3" fontId="27" fillId="0" borderId="203" xfId="0" applyNumberFormat="1" applyFont="1" applyFill="1" applyBorder="1" applyAlignment="1">
      <alignment vertical="top"/>
    </xf>
    <xf numFmtId="43" fontId="27" fillId="0" borderId="203" xfId="1" applyFont="1" applyFill="1" applyBorder="1" applyAlignment="1">
      <alignment vertical="top"/>
    </xf>
    <xf numFmtId="3" fontId="31" fillId="0" borderId="203" xfId="0" applyNumberFormat="1" applyFont="1" applyFill="1" applyBorder="1" applyAlignment="1">
      <alignment horizontal="right" vertical="center"/>
    </xf>
    <xf numFmtId="43" fontId="31" fillId="0" borderId="203" xfId="1" applyFont="1" applyFill="1" applyBorder="1" applyAlignment="1">
      <alignment horizontal="right" vertical="center"/>
    </xf>
    <xf numFmtId="43" fontId="31" fillId="0" borderId="203" xfId="1" applyFont="1" applyFill="1" applyBorder="1" applyAlignment="1">
      <alignment vertical="top"/>
    </xf>
    <xf numFmtId="0" fontId="7" fillId="6" borderId="205" xfId="0" applyFont="1" applyFill="1" applyBorder="1" applyAlignment="1">
      <alignment horizontal="left" vertical="center" wrapText="1"/>
    </xf>
    <xf numFmtId="3" fontId="25" fillId="6" borderId="203" xfId="0" applyNumberFormat="1" applyFont="1" applyFill="1" applyBorder="1" applyAlignment="1">
      <alignment vertical="top"/>
    </xf>
    <xf numFmtId="3" fontId="27" fillId="2" borderId="206" xfId="4" applyNumberFormat="1" applyFont="1" applyFill="1" applyBorder="1" applyAlignment="1">
      <alignment vertical="center" wrapText="1"/>
    </xf>
    <xf numFmtId="3" fontId="31" fillId="0" borderId="204" xfId="0" applyNumberFormat="1" applyFont="1" applyFill="1" applyBorder="1" applyAlignment="1">
      <alignment vertical="top"/>
    </xf>
    <xf numFmtId="0" fontId="27" fillId="2" borderId="207" xfId="4" applyFont="1" applyFill="1" applyBorder="1" applyAlignment="1">
      <alignment vertical="top"/>
    </xf>
    <xf numFmtId="3" fontId="28" fillId="2" borderId="148" xfId="0" applyNumberFormat="1" applyFont="1" applyFill="1" applyBorder="1" applyAlignment="1">
      <alignment vertical="top"/>
    </xf>
    <xf numFmtId="0" fontId="31" fillId="6" borderId="205" xfId="0" applyFont="1" applyFill="1" applyBorder="1" applyAlignment="1">
      <alignment vertical="top"/>
    </xf>
    <xf numFmtId="3" fontId="25" fillId="6" borderId="203" xfId="0" applyNumberFormat="1" applyFont="1" applyFill="1" applyBorder="1" applyAlignment="1">
      <alignment vertical="center"/>
    </xf>
    <xf numFmtId="3" fontId="25" fillId="22" borderId="204" xfId="0" applyNumberFormat="1" applyFont="1" applyFill="1" applyBorder="1" applyAlignment="1">
      <alignment vertical="center"/>
    </xf>
    <xf numFmtId="3" fontId="27" fillId="32" borderId="203" xfId="0" applyNumberFormat="1" applyFont="1" applyFill="1" applyBorder="1" applyAlignment="1">
      <alignment vertical="center"/>
    </xf>
    <xf numFmtId="3" fontId="27" fillId="25" borderId="204" xfId="0" applyNumberFormat="1" applyFont="1" applyFill="1" applyBorder="1" applyAlignment="1">
      <alignment vertical="center"/>
    </xf>
    <xf numFmtId="3" fontId="31" fillId="2" borderId="203" xfId="0" applyNumberFormat="1" applyFont="1" applyFill="1" applyBorder="1" applyAlignment="1">
      <alignment vertical="top"/>
    </xf>
    <xf numFmtId="3" fontId="25" fillId="32" borderId="203" xfId="0" applyNumberFormat="1" applyFont="1" applyFill="1" applyBorder="1" applyAlignment="1">
      <alignment vertical="top"/>
    </xf>
    <xf numFmtId="3" fontId="27" fillId="25" borderId="204" xfId="0" applyNumberFormat="1" applyFont="1" applyFill="1" applyBorder="1" applyAlignment="1">
      <alignment vertical="top"/>
    </xf>
    <xf numFmtId="3" fontId="28" fillId="57" borderId="203" xfId="0" applyNumberFormat="1" applyFont="1" applyFill="1" applyBorder="1" applyAlignment="1">
      <alignment vertical="top"/>
    </xf>
    <xf numFmtId="3" fontId="28" fillId="25" borderId="204" xfId="0" applyNumberFormat="1" applyFont="1" applyFill="1" applyBorder="1" applyAlignment="1">
      <alignment vertical="center"/>
    </xf>
    <xf numFmtId="3" fontId="28" fillId="58" borderId="203" xfId="0" applyNumberFormat="1" applyFont="1" applyFill="1" applyBorder="1" applyAlignment="1">
      <alignment vertical="top"/>
    </xf>
    <xf numFmtId="3" fontId="31" fillId="0" borderId="203" xfId="4" applyNumberFormat="1" applyFont="1" applyFill="1" applyBorder="1" applyAlignment="1">
      <alignment vertical="center"/>
    </xf>
    <xf numFmtId="3" fontId="28" fillId="60" borderId="204" xfId="0" applyNumberFormat="1" applyFont="1" applyFill="1" applyBorder="1" applyAlignment="1">
      <alignment vertical="center"/>
    </xf>
    <xf numFmtId="3" fontId="28" fillId="59" borderId="203" xfId="0" applyNumberFormat="1" applyFont="1" applyFill="1" applyBorder="1" applyAlignment="1">
      <alignment vertical="top"/>
    </xf>
    <xf numFmtId="0" fontId="8" fillId="0" borderId="205" xfId="0" applyFont="1" applyFill="1" applyBorder="1" applyAlignment="1">
      <alignment vertical="center" wrapText="1"/>
    </xf>
    <xf numFmtId="43" fontId="31" fillId="25" borderId="204" xfId="1" applyFont="1" applyFill="1" applyBorder="1" applyAlignment="1">
      <alignment vertical="top"/>
    </xf>
    <xf numFmtId="3" fontId="28" fillId="55" borderId="203" xfId="0" applyNumberFormat="1" applyFont="1" applyFill="1" applyBorder="1" applyAlignment="1">
      <alignment vertical="top"/>
    </xf>
    <xf numFmtId="43" fontId="28" fillId="25" borderId="204" xfId="1" applyFont="1" applyFill="1" applyBorder="1" applyAlignment="1">
      <alignment vertical="center"/>
    </xf>
    <xf numFmtId="3" fontId="27" fillId="0" borderId="204" xfId="0" applyNumberFormat="1" applyFont="1" applyFill="1" applyBorder="1" applyAlignment="1">
      <alignment vertical="top"/>
    </xf>
    <xf numFmtId="3" fontId="31" fillId="0" borderId="204" xfId="4" applyNumberFormat="1" applyFont="1" applyFill="1" applyBorder="1" applyAlignment="1">
      <alignment vertical="center"/>
    </xf>
    <xf numFmtId="0" fontId="23" fillId="0" borderId="205" xfId="0" applyFont="1" applyBorder="1" applyAlignment="1">
      <alignment horizontal="center" vertical="center" wrapText="1"/>
    </xf>
    <xf numFmtId="3" fontId="31" fillId="23" borderId="204" xfId="0" applyNumberFormat="1" applyFont="1" applyFill="1" applyBorder="1" applyAlignment="1">
      <alignment vertical="center"/>
    </xf>
    <xf numFmtId="0" fontId="28" fillId="58" borderId="205" xfId="0" applyFont="1" applyFill="1" applyBorder="1" applyAlignment="1">
      <alignment vertical="top"/>
    </xf>
    <xf numFmtId="0" fontId="28" fillId="56" borderId="202" xfId="0" applyFont="1" applyFill="1" applyBorder="1" applyAlignment="1">
      <alignment vertical="center"/>
    </xf>
    <xf numFmtId="3" fontId="28" fillId="56" borderId="203" xfId="0" applyNumberFormat="1" applyFont="1" applyFill="1" applyBorder="1" applyAlignment="1">
      <alignment vertical="center"/>
    </xf>
    <xf numFmtId="0" fontId="41" fillId="59" borderId="206" xfId="0" applyFont="1" applyFill="1" applyBorder="1"/>
    <xf numFmtId="0" fontId="28" fillId="59" borderId="205" xfId="0" applyFont="1" applyFill="1" applyBorder="1" applyAlignment="1">
      <alignment vertical="top"/>
    </xf>
    <xf numFmtId="0" fontId="28" fillId="59" borderId="202" xfId="0" applyFont="1" applyFill="1" applyBorder="1" applyAlignment="1">
      <alignment vertical="top"/>
    </xf>
    <xf numFmtId="0" fontId="31" fillId="55" borderId="202" xfId="0" applyFont="1" applyFill="1" applyBorder="1" applyAlignment="1">
      <alignment vertical="top"/>
    </xf>
    <xf numFmtId="0" fontId="31" fillId="55" borderId="205" xfId="0" applyFont="1" applyFill="1" applyBorder="1" applyAlignment="1">
      <alignment vertical="top"/>
    </xf>
    <xf numFmtId="3" fontId="25" fillId="6" borderId="204" xfId="0" applyNumberFormat="1" applyFont="1" applyFill="1" applyBorder="1" applyAlignment="1">
      <alignment vertical="center"/>
    </xf>
    <xf numFmtId="0" fontId="27" fillId="2" borderId="208" xfId="4" applyFont="1" applyFill="1" applyBorder="1" applyAlignment="1">
      <alignment vertical="top"/>
    </xf>
    <xf numFmtId="0" fontId="31" fillId="6" borderId="205" xfId="0" applyFont="1" applyFill="1" applyBorder="1" applyAlignment="1">
      <alignment vertical="center"/>
    </xf>
    <xf numFmtId="3" fontId="25" fillId="22" borderId="203" xfId="0" applyNumberFormat="1" applyFont="1" applyFill="1" applyBorder="1" applyAlignment="1">
      <alignment vertical="center"/>
    </xf>
    <xf numFmtId="3" fontId="7" fillId="23" borderId="204" xfId="0" applyNumberFormat="1" applyFont="1" applyFill="1" applyBorder="1" applyAlignment="1">
      <alignment vertical="center"/>
    </xf>
    <xf numFmtId="0" fontId="31" fillId="0" borderId="209" xfId="0" applyFont="1" applyFill="1" applyBorder="1" applyAlignment="1">
      <alignment horizontal="left" vertical="center" wrapText="1"/>
    </xf>
    <xf numFmtId="3" fontId="25" fillId="6" borderId="204" xfId="0" applyNumberFormat="1" applyFont="1" applyFill="1" applyBorder="1" applyAlignment="1">
      <alignment vertical="top"/>
    </xf>
    <xf numFmtId="3" fontId="27" fillId="2" borderId="204" xfId="0" applyNumberFormat="1" applyFont="1" applyFill="1" applyBorder="1" applyAlignment="1">
      <alignment vertical="top"/>
    </xf>
    <xf numFmtId="0" fontId="24" fillId="8" borderId="21" xfId="0" applyFont="1" applyFill="1" applyBorder="1" applyAlignment="1">
      <alignment vertical="center" wrapText="1"/>
    </xf>
    <xf numFmtId="43" fontId="7" fillId="8" borderId="7" xfId="1" applyFont="1" applyFill="1" applyBorder="1" applyAlignment="1">
      <alignment vertical="center"/>
    </xf>
    <xf numFmtId="0" fontId="25" fillId="6" borderId="208" xfId="4" applyFont="1" applyFill="1" applyBorder="1" applyAlignment="1">
      <alignment horizontal="left" vertical="center"/>
    </xf>
    <xf numFmtId="0" fontId="25" fillId="6" borderId="205" xfId="4" applyFont="1" applyFill="1" applyBorder="1" applyAlignment="1">
      <alignment horizontal="left" vertical="center"/>
    </xf>
    <xf numFmtId="3" fontId="24" fillId="6" borderId="203" xfId="4" applyNumberFormat="1" applyFont="1" applyFill="1" applyBorder="1" applyAlignment="1">
      <alignment vertical="center"/>
    </xf>
    <xf numFmtId="3" fontId="25" fillId="22" borderId="204" xfId="4" applyNumberFormat="1" applyFont="1" applyFill="1" applyBorder="1" applyAlignment="1">
      <alignment horizontal="right" vertical="center"/>
    </xf>
    <xf numFmtId="3" fontId="27" fillId="2" borderId="207" xfId="4" applyNumberFormat="1" applyFont="1" applyFill="1" applyBorder="1" applyAlignment="1">
      <alignment vertical="center" wrapText="1"/>
    </xf>
    <xf numFmtId="3" fontId="33" fillId="0" borderId="203" xfId="6" applyNumberFormat="1" applyFont="1" applyFill="1" applyBorder="1" applyAlignment="1">
      <alignment vertical="center"/>
    </xf>
    <xf numFmtId="3" fontId="27" fillId="25" borderId="203" xfId="4" applyNumberFormat="1" applyFont="1" applyFill="1" applyBorder="1" applyAlignment="1">
      <alignment horizontal="right" vertical="center"/>
    </xf>
    <xf numFmtId="0" fontId="7" fillId="0" borderId="207" xfId="4" applyFont="1" applyFill="1" applyBorder="1" applyAlignment="1">
      <alignment vertical="center"/>
    </xf>
    <xf numFmtId="3" fontId="7" fillId="0" borderId="193" xfId="4" applyNumberFormat="1" applyFont="1" applyFill="1" applyBorder="1" applyAlignment="1">
      <alignment horizontal="right" vertical="center"/>
    </xf>
    <xf numFmtId="3" fontId="31" fillId="23" borderId="204" xfId="4" applyNumberFormat="1" applyFont="1" applyFill="1" applyBorder="1" applyAlignment="1">
      <alignment vertical="center"/>
    </xf>
    <xf numFmtId="3" fontId="27" fillId="2" borderId="208" xfId="4" applyNumberFormat="1" applyFont="1" applyFill="1" applyBorder="1" applyAlignment="1">
      <alignment vertical="center" wrapText="1"/>
    </xf>
    <xf numFmtId="3" fontId="27" fillId="0" borderId="200" xfId="4" applyNumberFormat="1" applyFont="1" applyFill="1" applyBorder="1" applyAlignment="1">
      <alignment horizontal="right" vertical="center"/>
    </xf>
    <xf numFmtId="3" fontId="27" fillId="0" borderId="193" xfId="4" applyNumberFormat="1" applyFont="1" applyFill="1" applyBorder="1" applyAlignment="1">
      <alignment horizontal="right" vertical="center"/>
    </xf>
    <xf numFmtId="3" fontId="24" fillId="32" borderId="203" xfId="4" applyNumberFormat="1" applyFont="1" applyFill="1" applyBorder="1" applyAlignment="1">
      <alignment vertical="center"/>
    </xf>
    <xf numFmtId="3" fontId="31" fillId="2" borderId="206" xfId="4" applyNumberFormat="1" applyFont="1" applyFill="1" applyBorder="1" applyAlignment="1">
      <alignment vertical="center" wrapText="1"/>
    </xf>
    <xf numFmtId="3" fontId="31" fillId="32" borderId="203" xfId="4" applyNumberFormat="1" applyFont="1" applyFill="1" applyBorder="1" applyAlignment="1">
      <alignment vertical="center"/>
    </xf>
    <xf numFmtId="3" fontId="33" fillId="0" borderId="204" xfId="6" applyNumberFormat="1" applyFont="1" applyFill="1" applyBorder="1" applyAlignment="1">
      <alignment vertical="center"/>
    </xf>
    <xf numFmtId="43" fontId="24" fillId="6" borderId="203" xfId="4" applyNumberFormat="1" applyFont="1" applyFill="1" applyBorder="1" applyAlignment="1">
      <alignment vertical="center"/>
    </xf>
    <xf numFmtId="43" fontId="33" fillId="0" borderId="203" xfId="6" applyNumberFormat="1" applyFont="1" applyFill="1" applyBorder="1" applyAlignment="1">
      <alignment vertical="center"/>
    </xf>
    <xf numFmtId="43" fontId="31" fillId="0" borderId="193" xfId="4" applyNumberFormat="1" applyFont="1" applyFill="1" applyBorder="1" applyAlignment="1">
      <alignment vertical="center"/>
    </xf>
    <xf numFmtId="0" fontId="28" fillId="0" borderId="207" xfId="4" applyFont="1" applyFill="1" applyBorder="1" applyAlignment="1">
      <alignment horizontal="right" vertical="center"/>
    </xf>
    <xf numFmtId="41" fontId="31" fillId="0" borderId="193" xfId="1" applyNumberFormat="1" applyFont="1" applyFill="1" applyBorder="1" applyAlignment="1"/>
    <xf numFmtId="43" fontId="33" fillId="0" borderId="204" xfId="6" applyNumberFormat="1" applyFont="1" applyFill="1" applyBorder="1" applyAlignment="1">
      <alignment vertical="center"/>
    </xf>
    <xf numFmtId="3" fontId="33" fillId="0" borderId="193" xfId="6" applyNumberFormat="1" applyFont="1" applyFill="1" applyBorder="1" applyAlignment="1">
      <alignment vertical="center"/>
    </xf>
    <xf numFmtId="43" fontId="33" fillId="0" borderId="193" xfId="6" applyNumberFormat="1" applyFont="1" applyFill="1" applyBorder="1" applyAlignment="1">
      <alignment vertical="center"/>
    </xf>
    <xf numFmtId="3" fontId="32" fillId="0" borderId="193" xfId="6" applyNumberFormat="1" applyFont="1" applyFill="1" applyBorder="1" applyAlignment="1">
      <alignment vertical="center"/>
    </xf>
    <xf numFmtId="41" fontId="31" fillId="0" borderId="193" xfId="1" applyNumberFormat="1" applyFont="1" applyFill="1" applyBorder="1" applyAlignment="1">
      <alignment horizontal="right" vertical="center"/>
    </xf>
    <xf numFmtId="3" fontId="31" fillId="0" borderId="193" xfId="4" applyNumberFormat="1" applyFont="1" applyFill="1" applyBorder="1" applyAlignment="1">
      <alignment horizontal="right" vertical="center"/>
    </xf>
    <xf numFmtId="43" fontId="32" fillId="0" borderId="204" xfId="6" applyNumberFormat="1" applyFont="1" applyFill="1" applyBorder="1" applyAlignment="1">
      <alignment vertical="center"/>
    </xf>
    <xf numFmtId="41" fontId="31" fillId="0" borderId="203" xfId="1" applyNumberFormat="1" applyFont="1" applyFill="1" applyBorder="1" applyAlignment="1"/>
    <xf numFmtId="3" fontId="7" fillId="0" borderId="204" xfId="4" applyNumberFormat="1" applyFont="1" applyFill="1" applyBorder="1" applyAlignment="1">
      <alignment horizontal="right" vertical="center"/>
    </xf>
    <xf numFmtId="43" fontId="7" fillId="0" borderId="131" xfId="4" applyNumberFormat="1" applyFont="1" applyFill="1" applyBorder="1" applyAlignment="1">
      <alignment horizontal="right" vertical="center"/>
    </xf>
    <xf numFmtId="3" fontId="25" fillId="6" borderId="203" xfId="4" applyNumberFormat="1" applyFont="1" applyFill="1" applyBorder="1" applyAlignment="1">
      <alignment horizontal="right" vertical="center"/>
    </xf>
    <xf numFmtId="3" fontId="27" fillId="0" borderId="203" xfId="4" applyNumberFormat="1" applyFont="1" applyFill="1" applyBorder="1" applyAlignment="1">
      <alignment horizontal="right" vertical="center"/>
    </xf>
    <xf numFmtId="3" fontId="31" fillId="0" borderId="203" xfId="4" applyNumberFormat="1" applyFont="1" applyFill="1" applyBorder="1" applyAlignment="1">
      <alignment horizontal="right" vertical="center"/>
    </xf>
    <xf numFmtId="3" fontId="7" fillId="0" borderId="203" xfId="4" applyNumberFormat="1" applyFont="1" applyFill="1" applyBorder="1" applyAlignment="1">
      <alignment horizontal="right" vertical="center"/>
    </xf>
    <xf numFmtId="3" fontId="31" fillId="25" borderId="203" xfId="4" applyNumberFormat="1" applyFont="1" applyFill="1" applyBorder="1" applyAlignment="1">
      <alignment horizontal="right" vertical="center"/>
    </xf>
    <xf numFmtId="0" fontId="7" fillId="0" borderId="201" xfId="4" applyFont="1" applyFill="1" applyBorder="1" applyAlignment="1">
      <alignment vertical="center"/>
    </xf>
    <xf numFmtId="3" fontId="29" fillId="2" borderId="208" xfId="4" applyNumberFormat="1" applyFont="1" applyFill="1" applyBorder="1" applyAlignment="1">
      <alignment vertical="center" wrapText="1"/>
    </xf>
    <xf numFmtId="3" fontId="32" fillId="0" borderId="204" xfId="6" applyNumberFormat="1" applyFont="1" applyFill="1" applyBorder="1" applyAlignment="1">
      <alignment vertical="center"/>
    </xf>
    <xf numFmtId="3" fontId="27" fillId="2" borderId="203" xfId="4" applyNumberFormat="1" applyFont="1" applyFill="1" applyBorder="1" applyAlignment="1">
      <alignment vertical="center"/>
    </xf>
    <xf numFmtId="3" fontId="36" fillId="6" borderId="30" xfId="0" applyNumberFormat="1" applyFont="1" applyFill="1" applyBorder="1"/>
    <xf numFmtId="0" fontId="25" fillId="6" borderId="194" xfId="4" applyFont="1" applyFill="1" applyBorder="1" applyAlignment="1">
      <alignment horizontal="left" vertical="center"/>
    </xf>
    <xf numFmtId="3" fontId="23" fillId="6" borderId="203" xfId="6" applyNumberFormat="1" applyFont="1" applyFill="1" applyBorder="1" applyAlignment="1">
      <alignment horizontal="right" vertical="center"/>
    </xf>
    <xf numFmtId="3" fontId="33" fillId="0" borderId="203" xfId="6" applyNumberFormat="1" applyFont="1" applyFill="1" applyBorder="1" applyAlignment="1">
      <alignment horizontal="right" vertical="center"/>
    </xf>
    <xf numFmtId="43" fontId="31" fillId="0" borderId="193" xfId="1" applyFont="1" applyFill="1" applyBorder="1" applyAlignment="1">
      <alignment horizontal="right" vertical="center"/>
    </xf>
    <xf numFmtId="0" fontId="31" fillId="0" borderId="201" xfId="4" applyFont="1" applyFill="1" applyBorder="1" applyAlignment="1">
      <alignment vertical="center"/>
    </xf>
    <xf numFmtId="43" fontId="33" fillId="0" borderId="203" xfId="1" applyFont="1" applyFill="1" applyBorder="1" applyAlignment="1">
      <alignment horizontal="right" vertical="center"/>
    </xf>
    <xf numFmtId="3" fontId="29" fillId="2" borderId="203" xfId="4" applyNumberFormat="1" applyFont="1" applyFill="1" applyBorder="1" applyAlignment="1">
      <alignment vertical="center"/>
    </xf>
    <xf numFmtId="43" fontId="23" fillId="6" borderId="203" xfId="1" applyFont="1" applyFill="1" applyBorder="1" applyAlignment="1">
      <alignment horizontal="right" vertical="center"/>
    </xf>
    <xf numFmtId="0" fontId="7" fillId="0" borderId="208" xfId="4" applyFont="1" applyFill="1" applyBorder="1" applyAlignment="1">
      <alignment vertical="center"/>
    </xf>
    <xf numFmtId="3" fontId="24" fillId="6" borderId="203" xfId="0" applyNumberFormat="1" applyFont="1" applyFill="1" applyBorder="1" applyAlignment="1">
      <alignment horizontal="right" vertical="center"/>
    </xf>
    <xf numFmtId="43" fontId="31" fillId="0" borderId="203" xfId="1" applyFont="1" applyFill="1" applyBorder="1" applyAlignment="1">
      <alignment vertical="center"/>
    </xf>
    <xf numFmtId="3" fontId="31" fillId="25" borderId="193" xfId="4" applyNumberFormat="1" applyFont="1" applyFill="1" applyBorder="1" applyAlignment="1">
      <alignment horizontal="right" vertical="center"/>
    </xf>
    <xf numFmtId="0" fontId="23" fillId="0" borderId="6" xfId="0" applyFont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3" fontId="24" fillId="26" borderId="62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4" xfId="4" applyNumberFormat="1" applyFont="1" applyFill="1" applyBorder="1" applyAlignment="1">
      <alignment horizontal="center" vertical="center"/>
    </xf>
    <xf numFmtId="0" fontId="18" fillId="13" borderId="43" xfId="4" applyFont="1" applyFill="1" applyBorder="1" applyAlignment="1">
      <alignment horizontal="center" vertical="center" wrapText="1"/>
    </xf>
    <xf numFmtId="0" fontId="23" fillId="0" borderId="141" xfId="0" applyFont="1" applyBorder="1" applyAlignment="1">
      <alignment horizontal="center" vertical="center" wrapText="1"/>
    </xf>
    <xf numFmtId="0" fontId="32" fillId="0" borderId="171" xfId="0" applyFont="1" applyFill="1" applyBorder="1" applyAlignment="1">
      <alignment horizontal="center" vertical="center" wrapText="1"/>
    </xf>
    <xf numFmtId="0" fontId="32" fillId="0" borderId="197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0" fillId="0" borderId="0" xfId="0" applyFont="1" applyBorder="1"/>
    <xf numFmtId="0" fontId="7" fillId="0" borderId="10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17" fillId="0" borderId="25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25" fillId="32" borderId="12" xfId="4" applyFont="1" applyFill="1" applyBorder="1" applyAlignment="1">
      <alignment horizontal="center" vertical="center" wrapText="1"/>
    </xf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7" fillId="0" borderId="25" xfId="4" applyFont="1" applyBorder="1" applyAlignment="1">
      <alignment horizontal="center" vertical="center"/>
    </xf>
    <xf numFmtId="0" fontId="25" fillId="0" borderId="12" xfId="4" applyFont="1" applyBorder="1" applyAlignment="1">
      <alignment horizontal="center" vertical="center" wrapText="1"/>
    </xf>
    <xf numFmtId="0" fontId="27" fillId="2" borderId="177" xfId="4" applyFont="1" applyFill="1" applyBorder="1" applyAlignment="1">
      <alignment vertical="center"/>
    </xf>
    <xf numFmtId="43" fontId="32" fillId="0" borderId="172" xfId="1" applyFont="1" applyFill="1" applyBorder="1" applyAlignment="1">
      <alignment vertical="center"/>
    </xf>
    <xf numFmtId="3" fontId="27" fillId="2" borderId="171" xfId="4" applyNumberFormat="1" applyFont="1" applyFill="1" applyBorder="1" applyAlignment="1">
      <alignment vertical="center"/>
    </xf>
    <xf numFmtId="0" fontId="25" fillId="6" borderId="194" xfId="4" applyFont="1" applyFill="1" applyBorder="1" applyAlignment="1">
      <alignment horizontal="center" vertical="center"/>
    </xf>
    <xf numFmtId="43" fontId="7" fillId="0" borderId="200" xfId="1" applyFont="1" applyFill="1" applyBorder="1" applyAlignment="1">
      <alignment horizontal="right" vertical="center"/>
    </xf>
    <xf numFmtId="3" fontId="7" fillId="0" borderId="200" xfId="4" applyNumberFormat="1" applyFont="1" applyFill="1" applyBorder="1" applyAlignment="1">
      <alignment horizontal="right" vertical="center"/>
    </xf>
    <xf numFmtId="3" fontId="31" fillId="0" borderId="197" xfId="4" applyNumberFormat="1" applyFont="1" applyFill="1" applyBorder="1" applyAlignment="1">
      <alignment vertical="center"/>
    </xf>
    <xf numFmtId="43" fontId="32" fillId="0" borderId="197" xfId="1" applyFont="1" applyFill="1" applyBorder="1" applyAlignment="1">
      <alignment vertical="center"/>
    </xf>
    <xf numFmtId="0" fontId="27" fillId="2" borderId="208" xfId="4" applyFont="1" applyFill="1" applyBorder="1" applyAlignment="1">
      <alignment vertical="center"/>
    </xf>
    <xf numFmtId="43" fontId="7" fillId="0" borderId="182" xfId="1" applyFont="1" applyFill="1" applyBorder="1" applyAlignment="1">
      <alignment horizontal="right" vertical="center"/>
    </xf>
    <xf numFmtId="43" fontId="7" fillId="0" borderId="63" xfId="1" applyFont="1" applyFill="1" applyBorder="1" applyAlignment="1">
      <alignment horizontal="right" vertical="center"/>
    </xf>
    <xf numFmtId="43" fontId="32" fillId="0" borderId="30" xfId="1" applyFont="1" applyFill="1" applyBorder="1" applyAlignment="1">
      <alignment vertical="center"/>
    </xf>
    <xf numFmtId="0" fontId="24" fillId="6" borderId="194" xfId="4" applyFont="1" applyFill="1" applyBorder="1" applyAlignment="1">
      <alignment horizontal="left" vertical="center"/>
    </xf>
    <xf numFmtId="3" fontId="24" fillId="6" borderId="203" xfId="4" applyNumberFormat="1" applyFont="1" applyFill="1" applyBorder="1" applyAlignment="1">
      <alignment horizontal="right" vertical="center"/>
    </xf>
    <xf numFmtId="3" fontId="29" fillId="0" borderId="203" xfId="4" applyNumberFormat="1" applyFont="1" applyFill="1" applyBorder="1" applyAlignment="1">
      <alignment horizontal="right" vertical="center"/>
    </xf>
    <xf numFmtId="3" fontId="29" fillId="25" borderId="203" xfId="4" applyNumberFormat="1" applyFont="1" applyFill="1" applyBorder="1" applyAlignment="1">
      <alignment horizontal="right" vertical="center"/>
    </xf>
    <xf numFmtId="0" fontId="24" fillId="6" borderId="28" xfId="4" applyFont="1" applyFill="1" applyBorder="1" applyAlignment="1">
      <alignment horizontal="left" vertical="center"/>
    </xf>
    <xf numFmtId="3" fontId="24" fillId="6" borderId="118" xfId="4" applyNumberFormat="1" applyFont="1" applyFill="1" applyBorder="1" applyAlignment="1">
      <alignment horizontal="right" vertical="center"/>
    </xf>
    <xf numFmtId="3" fontId="24" fillId="22" borderId="117" xfId="4" applyNumberFormat="1" applyFont="1" applyFill="1" applyBorder="1" applyAlignment="1">
      <alignment horizontal="right" vertical="center"/>
    </xf>
    <xf numFmtId="3" fontId="29" fillId="0" borderId="118" xfId="4" applyNumberFormat="1" applyFont="1" applyFill="1" applyBorder="1" applyAlignment="1">
      <alignment horizontal="right" vertical="center"/>
    </xf>
    <xf numFmtId="3" fontId="24" fillId="6" borderId="207" xfId="4" applyNumberFormat="1" applyFont="1" applyFill="1" applyBorder="1" applyAlignment="1">
      <alignment horizontal="right" vertical="center"/>
    </xf>
    <xf numFmtId="43" fontId="33" fillId="0" borderId="197" xfId="1" applyFont="1" applyFill="1" applyBorder="1" applyAlignment="1">
      <alignment vertical="center"/>
    </xf>
    <xf numFmtId="43" fontId="7" fillId="0" borderId="203" xfId="1" applyFont="1" applyFill="1" applyBorder="1" applyAlignment="1">
      <alignment horizontal="right" vertical="center"/>
    </xf>
    <xf numFmtId="3" fontId="24" fillId="22" borderId="172" xfId="4" applyNumberFormat="1" applyFont="1" applyFill="1" applyBorder="1" applyAlignment="1">
      <alignment horizontal="right" vertical="center"/>
    </xf>
    <xf numFmtId="0" fontId="32" fillId="0" borderId="35" xfId="0" applyFont="1" applyFill="1" applyBorder="1" applyAlignment="1">
      <alignment horizontal="center" vertical="center" wrapText="1"/>
    </xf>
    <xf numFmtId="0" fontId="0" fillId="0" borderId="197" xfId="0" applyFont="1" applyBorder="1"/>
    <xf numFmtId="3" fontId="28" fillId="56" borderId="9" xfId="0" applyNumberFormat="1" applyFont="1" applyFill="1" applyBorder="1" applyAlignment="1">
      <alignment vertical="center"/>
    </xf>
    <xf numFmtId="0" fontId="25" fillId="6" borderId="122" xfId="4" applyFont="1" applyFill="1" applyBorder="1" applyAlignment="1">
      <alignment horizontal="left" vertical="center"/>
    </xf>
    <xf numFmtId="3" fontId="27" fillId="2" borderId="126" xfId="4" applyNumberFormat="1" applyFont="1" applyFill="1" applyBorder="1" applyAlignment="1">
      <alignment vertical="center" wrapText="1"/>
    </xf>
    <xf numFmtId="3" fontId="27" fillId="0" borderId="130" xfId="4" applyNumberFormat="1" applyFont="1" applyFill="1" applyBorder="1" applyAlignment="1">
      <alignment horizontal="right" vertical="center"/>
    </xf>
    <xf numFmtId="3" fontId="29" fillId="0" borderId="120" xfId="4" applyNumberFormat="1" applyFont="1" applyFill="1" applyBorder="1" applyAlignment="1">
      <alignment horizontal="right" vertical="center"/>
    </xf>
    <xf numFmtId="3" fontId="27" fillId="0" borderId="120" xfId="4" applyNumberFormat="1" applyFont="1" applyFill="1" applyBorder="1" applyAlignment="1">
      <alignment horizontal="right" vertical="center"/>
    </xf>
    <xf numFmtId="3" fontId="27" fillId="25" borderId="132" xfId="4" applyNumberFormat="1" applyFont="1" applyFill="1" applyBorder="1" applyAlignment="1">
      <alignment horizontal="right" vertical="center"/>
    </xf>
    <xf numFmtId="0" fontId="7" fillId="0" borderId="126" xfId="4" applyFont="1" applyFill="1" applyBorder="1" applyAlignment="1">
      <alignment vertical="center"/>
    </xf>
    <xf numFmtId="3" fontId="7" fillId="0" borderId="120" xfId="4" applyNumberFormat="1" applyFont="1" applyFill="1" applyBorder="1" applyAlignment="1">
      <alignment horizontal="right" vertical="center"/>
    </xf>
    <xf numFmtId="3" fontId="27" fillId="2" borderId="122" xfId="4" applyNumberFormat="1" applyFont="1" applyFill="1" applyBorder="1" applyAlignment="1">
      <alignment vertical="center" wrapText="1"/>
    </xf>
    <xf numFmtId="3" fontId="33" fillId="0" borderId="129" xfId="6" applyNumberFormat="1" applyFont="1" applyFill="1" applyBorder="1" applyAlignment="1">
      <alignment vertical="center"/>
    </xf>
    <xf numFmtId="0" fontId="20" fillId="6" borderId="28" xfId="4" applyFont="1" applyFill="1" applyBorder="1" applyAlignment="1">
      <alignment horizontal="left" vertical="center"/>
    </xf>
    <xf numFmtId="3" fontId="29" fillId="0" borderId="95" xfId="4" applyNumberFormat="1" applyFont="1" applyFill="1" applyBorder="1" applyAlignment="1">
      <alignment horizontal="right" vertical="center"/>
    </xf>
    <xf numFmtId="3" fontId="27" fillId="23" borderId="91" xfId="4" applyNumberFormat="1" applyFont="1" applyFill="1" applyBorder="1" applyAlignment="1">
      <alignment vertical="center"/>
    </xf>
    <xf numFmtId="0" fontId="20" fillId="6" borderId="205" xfId="4" applyFont="1" applyFill="1" applyBorder="1" applyAlignment="1">
      <alignment horizontal="left" vertical="center"/>
    </xf>
    <xf numFmtId="3" fontId="29" fillId="0" borderId="193" xfId="4" applyNumberFormat="1" applyFont="1" applyFill="1" applyBorder="1" applyAlignment="1">
      <alignment horizontal="right" vertical="center"/>
    </xf>
    <xf numFmtId="3" fontId="27" fillId="23" borderId="204" xfId="4" applyNumberFormat="1" applyFont="1" applyFill="1" applyBorder="1" applyAlignment="1">
      <alignment vertical="center"/>
    </xf>
    <xf numFmtId="0" fontId="8" fillId="0" borderId="112" xfId="0" applyFont="1" applyBorder="1" applyAlignment="1">
      <alignment horizontal="center"/>
    </xf>
    <xf numFmtId="0" fontId="8" fillId="0" borderId="109" xfId="0" applyFont="1" applyBorder="1" applyAlignment="1">
      <alignment horizont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4" fillId="10" borderId="145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3" fontId="64" fillId="10" borderId="33" xfId="0" applyNumberFormat="1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 wrapText="1"/>
    </xf>
    <xf numFmtId="0" fontId="36" fillId="15" borderId="23" xfId="0" applyFont="1" applyFill="1" applyBorder="1" applyAlignment="1">
      <alignment horizontal="center" vertical="center" wrapText="1"/>
    </xf>
    <xf numFmtId="0" fontId="36" fillId="16" borderId="4" xfId="0" applyFont="1" applyFill="1" applyBorder="1" applyAlignment="1">
      <alignment horizontal="center" wrapText="1"/>
    </xf>
    <xf numFmtId="0" fontId="36" fillId="16" borderId="23" xfId="0" applyFont="1" applyFill="1" applyBorder="1" applyAlignment="1">
      <alignment horizontal="center" wrapText="1"/>
    </xf>
    <xf numFmtId="0" fontId="75" fillId="2" borderId="0" xfId="0" applyFont="1" applyFill="1" applyBorder="1" applyAlignment="1">
      <alignment horizontal="center" wrapText="1"/>
    </xf>
    <xf numFmtId="0" fontId="42" fillId="2" borderId="24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42" fillId="2" borderId="24" xfId="0" applyFont="1" applyFill="1" applyBorder="1" applyAlignment="1">
      <alignment horizontal="center" vertical="center"/>
    </xf>
    <xf numFmtId="3" fontId="25" fillId="25" borderId="200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3" fontId="25" fillId="2" borderId="73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0" fontId="23" fillId="0" borderId="10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5" fillId="25" borderId="63" xfId="4" applyNumberFormat="1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" fontId="25" fillId="2" borderId="141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3" fontId="18" fillId="0" borderId="140" xfId="4" applyNumberFormat="1" applyFont="1" applyFill="1" applyBorder="1" applyAlignment="1">
      <alignment horizontal="center" vertical="center" wrapText="1"/>
    </xf>
    <xf numFmtId="3" fontId="25" fillId="25" borderId="182" xfId="4" applyNumberFormat="1" applyFont="1" applyFill="1" applyBorder="1" applyAlignment="1">
      <alignment horizontal="center" vertical="center"/>
    </xf>
    <xf numFmtId="43" fontId="24" fillId="22" borderId="63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43" fontId="24" fillId="22" borderId="98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4" xfId="1" applyFont="1" applyFill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3" fontId="24" fillId="26" borderId="63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3" fontId="31" fillId="25" borderId="27" xfId="4" applyNumberFormat="1" applyFont="1" applyFill="1" applyBorder="1" applyAlignment="1">
      <alignment horizontal="center" vertical="center"/>
    </xf>
    <xf numFmtId="3" fontId="31" fillId="25" borderId="23" xfId="4" applyNumberFormat="1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25" fillId="2" borderId="22" xfId="4" applyNumberFormat="1" applyFont="1" applyFill="1" applyBorder="1" applyAlignment="1">
      <alignment horizontal="center" vertical="center" wrapText="1"/>
    </xf>
    <xf numFmtId="3" fontId="18" fillId="0" borderId="111" xfId="4" applyNumberFormat="1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8" fillId="0" borderId="42" xfId="4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25" fillId="2" borderId="202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18" fillId="0" borderId="82" xfId="4" applyNumberFormat="1" applyFont="1" applyFill="1" applyBorder="1" applyAlignment="1">
      <alignment horizontal="center" vertical="center" wrapText="1"/>
    </xf>
    <xf numFmtId="43" fontId="24" fillId="22" borderId="119" xfId="1" applyFont="1" applyFill="1" applyBorder="1" applyAlignment="1">
      <alignment horizontal="center" vertical="center"/>
    </xf>
    <xf numFmtId="43" fontId="24" fillId="22" borderId="62" xfId="1" applyFont="1" applyFill="1" applyBorder="1" applyAlignment="1">
      <alignment horizontal="center" vertical="center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3" fontId="24" fillId="2" borderId="141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0" fontId="22" fillId="0" borderId="1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5" fillId="26" borderId="182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3" fontId="24" fillId="26" borderId="193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3" fontId="25" fillId="26" borderId="63" xfId="4" applyNumberFormat="1" applyFont="1" applyFill="1" applyBorder="1" applyAlignment="1">
      <alignment horizontal="center" vertical="center"/>
    </xf>
    <xf numFmtId="3" fontId="25" fillId="26" borderId="200" xfId="4" applyNumberFormat="1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25" fillId="2" borderId="141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22" fillId="0" borderId="4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3" fontId="25" fillId="26" borderId="103" xfId="4" applyNumberFormat="1" applyFont="1" applyFill="1" applyBorder="1" applyAlignment="1">
      <alignment horizontal="center" vertical="center"/>
    </xf>
    <xf numFmtId="3" fontId="25" fillId="2" borderId="107" xfId="4" applyNumberFormat="1" applyFont="1" applyFill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140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22" fillId="0" borderId="111" xfId="0" applyFont="1" applyBorder="1" applyAlignment="1">
      <alignment horizontal="center" vertical="center" wrapText="1"/>
    </xf>
    <xf numFmtId="3" fontId="24" fillId="26" borderId="182" xfId="4" applyNumberFormat="1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22" fillId="0" borderId="210" xfId="0" applyFont="1" applyBorder="1" applyAlignment="1">
      <alignment horizontal="center" vertical="center" wrapText="1"/>
    </xf>
    <xf numFmtId="3" fontId="24" fillId="2" borderId="202" xfId="4" applyNumberFormat="1" applyFont="1" applyFill="1" applyBorder="1" applyAlignment="1">
      <alignment horizontal="center" vertical="center" wrapText="1"/>
    </xf>
    <xf numFmtId="3" fontId="25" fillId="2" borderId="123" xfId="4" applyNumberFormat="1" applyFont="1" applyFill="1" applyBorder="1" applyAlignment="1">
      <alignment horizontal="center" vertical="center" wrapText="1"/>
    </xf>
    <xf numFmtId="0" fontId="22" fillId="0" borderId="121" xfId="0" applyFont="1" applyBorder="1" applyAlignment="1">
      <alignment horizontal="center" vertical="center" wrapText="1"/>
    </xf>
    <xf numFmtId="3" fontId="24" fillId="26" borderId="200" xfId="4" applyNumberFormat="1" applyFont="1" applyFill="1" applyBorder="1" applyAlignment="1">
      <alignment horizontal="center" vertical="center"/>
    </xf>
    <xf numFmtId="3" fontId="24" fillId="26" borderId="103" xfId="4" applyNumberFormat="1" applyFont="1" applyFill="1" applyBorder="1" applyAlignment="1">
      <alignment horizontal="center" vertical="center"/>
    </xf>
    <xf numFmtId="3" fontId="24" fillId="26" borderId="62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4" xfId="4" applyNumberFormat="1" applyFont="1" applyFill="1" applyBorder="1" applyAlignment="1">
      <alignment horizontal="center" vertical="center"/>
    </xf>
    <xf numFmtId="3" fontId="31" fillId="26" borderId="119" xfId="4" applyNumberFormat="1" applyFont="1" applyFill="1" applyBorder="1" applyAlignment="1">
      <alignment horizontal="center" vertical="center"/>
    </xf>
    <xf numFmtId="3" fontId="31" fillId="26" borderId="13" xfId="4" applyNumberFormat="1" applyFont="1" applyFill="1" applyBorder="1" applyAlignment="1">
      <alignment horizontal="center" vertical="center"/>
    </xf>
    <xf numFmtId="3" fontId="31" fillId="26" borderId="12" xfId="4" applyNumberFormat="1" applyFont="1" applyFill="1" applyBorder="1" applyAlignment="1">
      <alignment horizontal="center" vertical="center"/>
    </xf>
    <xf numFmtId="3" fontId="31" fillId="26" borderId="63" xfId="4" applyNumberFormat="1" applyFont="1" applyFill="1" applyBorder="1" applyAlignment="1">
      <alignment horizontal="center" vertical="center"/>
    </xf>
    <xf numFmtId="3" fontId="31" fillId="26" borderId="182" xfId="4" applyNumberFormat="1" applyFont="1" applyFill="1" applyBorder="1" applyAlignment="1">
      <alignment horizontal="center" vertical="center"/>
    </xf>
    <xf numFmtId="3" fontId="25" fillId="26" borderId="130" xfId="4" applyNumberFormat="1" applyFont="1" applyFill="1" applyBorder="1" applyAlignment="1">
      <alignment horizontal="center" vertical="center"/>
    </xf>
    <xf numFmtId="0" fontId="18" fillId="0" borderId="140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3" fontId="32" fillId="25" borderId="200" xfId="6" applyNumberFormat="1" applyFont="1" applyFill="1" applyBorder="1" applyAlignment="1">
      <alignment horizontal="center" vertical="center"/>
    </xf>
    <xf numFmtId="3" fontId="32" fillId="25" borderId="13" xfId="6" applyNumberFormat="1" applyFont="1" applyFill="1" applyBorder="1" applyAlignment="1">
      <alignment horizontal="center" vertical="center"/>
    </xf>
    <xf numFmtId="3" fontId="32" fillId="25" borderId="12" xfId="6" applyNumberFormat="1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18" fillId="0" borderId="82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4" xfId="6" applyFont="1" applyBorder="1" applyAlignment="1">
      <alignment horizontal="center"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0" borderId="69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82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3" fontId="24" fillId="24" borderId="182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32" fillId="0" borderId="82" xfId="0" applyFont="1" applyBorder="1" applyAlignment="1">
      <alignment horizontal="center" vertical="center" wrapText="1"/>
    </xf>
    <xf numFmtId="0" fontId="25" fillId="2" borderId="73" xfId="4" applyFont="1" applyFill="1" applyBorder="1" applyAlignment="1">
      <alignment horizontal="center" vertical="center" wrapText="1"/>
    </xf>
    <xf numFmtId="0" fontId="32" fillId="0" borderId="210" xfId="0" applyFont="1" applyBorder="1" applyAlignment="1">
      <alignment horizontal="center" vertical="center" wrapText="1"/>
    </xf>
    <xf numFmtId="3" fontId="24" fillId="26" borderId="119" xfId="4" applyNumberFormat="1" applyFont="1" applyFill="1" applyBorder="1" applyAlignment="1">
      <alignment horizontal="center" vertical="center"/>
    </xf>
    <xf numFmtId="0" fontId="32" fillId="0" borderId="111" xfId="0" applyFont="1" applyBorder="1" applyAlignment="1">
      <alignment horizontal="center" vertical="center" wrapText="1"/>
    </xf>
    <xf numFmtId="0" fontId="25" fillId="2" borderId="107" xfId="4" applyFont="1" applyFill="1" applyBorder="1" applyAlignment="1">
      <alignment horizontal="center" vertical="center" wrapText="1"/>
    </xf>
    <xf numFmtId="0" fontId="25" fillId="2" borderId="202" xfId="4" applyFont="1" applyFill="1" applyBorder="1" applyAlignment="1">
      <alignment horizontal="center" vertical="center" wrapText="1"/>
    </xf>
    <xf numFmtId="0" fontId="25" fillId="0" borderId="73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0" fillId="0" borderId="26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0" fontId="25" fillId="2" borderId="6" xfId="4" applyFont="1" applyFill="1" applyBorder="1" applyAlignment="1">
      <alignment horizontal="center" vertical="center" wrapText="1"/>
    </xf>
    <xf numFmtId="0" fontId="26" fillId="0" borderId="20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3" fontId="25" fillId="26" borderId="173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0" fontId="24" fillId="27" borderId="66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0" fontId="24" fillId="27" borderId="69" xfId="4" applyFont="1" applyFill="1" applyBorder="1" applyAlignment="1">
      <alignment horizontal="center" vertical="center" wrapText="1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23" fillId="0" borderId="202" xfId="0" applyFont="1" applyBorder="1" applyAlignment="1">
      <alignment horizontal="center" vertical="center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194" xfId="4" applyFont="1" applyFill="1" applyBorder="1" applyAlignment="1">
      <alignment horizontal="center" vertical="center" wrapText="1"/>
    </xf>
    <xf numFmtId="0" fontId="0" fillId="0" borderId="194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17" fillId="0" borderId="44" xfId="4" applyFont="1" applyFill="1" applyBorder="1" applyAlignment="1">
      <alignment horizontal="center" vertical="center" wrapText="1"/>
    </xf>
    <xf numFmtId="0" fontId="17" fillId="0" borderId="199" xfId="4" applyFont="1" applyFill="1" applyBorder="1" applyAlignment="1">
      <alignment horizontal="center" vertical="center" wrapText="1"/>
    </xf>
    <xf numFmtId="0" fontId="37" fillId="0" borderId="199" xfId="0" applyFont="1" applyBorder="1" applyAlignment="1">
      <alignment horizontal="center" vertical="center" wrapText="1"/>
    </xf>
    <xf numFmtId="0" fontId="37" fillId="0" borderId="133" xfId="0" applyFont="1" applyBorder="1" applyAlignment="1">
      <alignment horizontal="center" vertical="center" wrapText="1"/>
    </xf>
    <xf numFmtId="0" fontId="23" fillId="0" borderId="200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3" fontId="24" fillId="26" borderId="197" xfId="4" applyNumberFormat="1" applyFont="1" applyFill="1" applyBorder="1" applyAlignment="1">
      <alignment horizontal="center" vertical="center"/>
    </xf>
    <xf numFmtId="3" fontId="24" fillId="26" borderId="131" xfId="4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17" fillId="0" borderId="176" xfId="4" applyFont="1" applyFill="1" applyBorder="1" applyAlignment="1">
      <alignment horizontal="center" vertical="center" wrapText="1"/>
    </xf>
    <xf numFmtId="0" fontId="0" fillId="0" borderId="176" xfId="0" applyFont="1" applyBorder="1" applyAlignment="1">
      <alignment horizontal="center" vertical="center" wrapText="1"/>
    </xf>
    <xf numFmtId="0" fontId="17" fillId="0" borderId="174" xfId="4" applyFont="1" applyFill="1" applyBorder="1" applyAlignment="1">
      <alignment horizontal="center" vertical="center" wrapText="1"/>
    </xf>
    <xf numFmtId="0" fontId="37" fillId="0" borderId="174" xfId="0" applyFont="1" applyBorder="1" applyAlignment="1">
      <alignment horizontal="center" vertical="center" wrapText="1"/>
    </xf>
    <xf numFmtId="3" fontId="24" fillId="26" borderId="171" xfId="4" applyNumberFormat="1" applyFont="1" applyFill="1" applyBorder="1" applyAlignment="1">
      <alignment horizontal="center" vertical="center"/>
    </xf>
    <xf numFmtId="0" fontId="23" fillId="0" borderId="18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3" fontId="25" fillId="0" borderId="197" xfId="4" applyNumberFormat="1" applyFont="1" applyFill="1" applyBorder="1" applyAlignment="1">
      <alignment horizontal="center" vertical="center" wrapText="1"/>
    </xf>
    <xf numFmtId="0" fontId="32" fillId="0" borderId="197" xfId="0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/>
    </xf>
    <xf numFmtId="0" fontId="17" fillId="0" borderId="176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17" fillId="0" borderId="46" xfId="4" applyFont="1" applyFill="1" applyBorder="1" applyAlignment="1">
      <alignment horizontal="center" vertical="center" wrapText="1"/>
    </xf>
    <xf numFmtId="0" fontId="37" fillId="0" borderId="174" xfId="0" applyFont="1" applyFill="1" applyBorder="1" applyAlignment="1">
      <alignment horizontal="center" vertical="center" wrapText="1"/>
    </xf>
    <xf numFmtId="0" fontId="37" fillId="0" borderId="133" xfId="0" applyFont="1" applyFill="1" applyBorder="1" applyAlignment="1">
      <alignment horizontal="center" vertical="center" wrapText="1"/>
    </xf>
    <xf numFmtId="3" fontId="25" fillId="2" borderId="171" xfId="4" applyNumberFormat="1" applyFont="1" applyFill="1" applyBorder="1" applyAlignment="1">
      <alignment horizontal="center" vertical="center" wrapText="1"/>
    </xf>
    <xf numFmtId="0" fontId="32" fillId="0" borderId="171" xfId="0" applyFont="1" applyBorder="1" applyAlignment="1">
      <alignment horizontal="center" vertical="center" wrapText="1"/>
    </xf>
    <xf numFmtId="0" fontId="23" fillId="0" borderId="171" xfId="0" applyFont="1" applyBorder="1" applyAlignment="1">
      <alignment horizontal="center" vertical="center" wrapText="1"/>
    </xf>
    <xf numFmtId="0" fontId="23" fillId="0" borderId="131" xfId="0" applyFont="1" applyBorder="1" applyAlignment="1">
      <alignment horizontal="center" vertical="center" wrapText="1"/>
    </xf>
    <xf numFmtId="0" fontId="0" fillId="0" borderId="176" xfId="0" applyFont="1" applyBorder="1" applyAlignment="1">
      <alignment horizontal="center" vertical="center"/>
    </xf>
    <xf numFmtId="0" fontId="25" fillId="2" borderId="171" xfId="4" applyFont="1" applyFill="1" applyBorder="1" applyAlignment="1">
      <alignment horizontal="center" vertical="center" wrapText="1"/>
    </xf>
    <xf numFmtId="0" fontId="32" fillId="0" borderId="171" xfId="0" applyFont="1" applyBorder="1" applyAlignment="1">
      <alignment wrapText="1"/>
    </xf>
    <xf numFmtId="3" fontId="25" fillId="22" borderId="171" xfId="4" applyNumberFormat="1" applyFont="1" applyFill="1" applyBorder="1" applyAlignment="1">
      <alignment horizontal="center" vertical="center"/>
    </xf>
    <xf numFmtId="3" fontId="25" fillId="2" borderId="188" xfId="4" applyNumberFormat="1" applyFont="1" applyFill="1" applyBorder="1" applyAlignment="1">
      <alignment horizontal="center" vertical="center" wrapText="1"/>
    </xf>
    <xf numFmtId="0" fontId="32" fillId="0" borderId="188" xfId="0" applyFont="1" applyBorder="1" applyAlignment="1">
      <alignment horizontal="center" vertical="center" wrapText="1"/>
    </xf>
    <xf numFmtId="3" fontId="24" fillId="26" borderId="188" xfId="4" applyNumberFormat="1" applyFont="1" applyFill="1" applyBorder="1" applyAlignment="1">
      <alignment horizontal="center" vertical="center"/>
    </xf>
    <xf numFmtId="0" fontId="23" fillId="0" borderId="188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32" fillId="0" borderId="131" xfId="0" applyFont="1" applyBorder="1" applyAlignment="1">
      <alignment wrapText="1"/>
    </xf>
    <xf numFmtId="0" fontId="17" fillId="0" borderId="176" xfId="4" quotePrefix="1" applyFont="1" applyFill="1" applyBorder="1" applyAlignment="1">
      <alignment horizontal="center" vertical="center" wrapText="1"/>
    </xf>
    <xf numFmtId="0" fontId="17" fillId="0" borderId="178" xfId="4" applyFont="1" applyFill="1" applyBorder="1" applyAlignment="1">
      <alignment horizontal="center" vertical="center" wrapText="1"/>
    </xf>
    <xf numFmtId="0" fontId="32" fillId="0" borderId="172" xfId="0" applyFont="1" applyBorder="1" applyAlignment="1">
      <alignment horizontal="center" vertical="center" wrapText="1"/>
    </xf>
    <xf numFmtId="0" fontId="17" fillId="0" borderId="20" xfId="4" quotePrefix="1" applyFont="1" applyFill="1" applyBorder="1" applyAlignment="1">
      <alignment horizontal="center" vertical="center"/>
    </xf>
    <xf numFmtId="0" fontId="23" fillId="0" borderId="171" xfId="0" applyFont="1" applyFill="1" applyBorder="1" applyAlignment="1">
      <alignment horizontal="center" vertical="center" wrapText="1"/>
    </xf>
    <xf numFmtId="0" fontId="23" fillId="0" borderId="171" xfId="0" applyFont="1" applyFill="1" applyBorder="1" applyAlignment="1">
      <alignment horizontal="center" wrapText="1"/>
    </xf>
    <xf numFmtId="3" fontId="25" fillId="0" borderId="171" xfId="4" applyNumberFormat="1" applyFont="1" applyFill="1" applyBorder="1" applyAlignment="1">
      <alignment horizontal="center" vertical="center" wrapText="1"/>
    </xf>
    <xf numFmtId="0" fontId="32" fillId="0" borderId="171" xfId="0" applyFont="1" applyFill="1" applyBorder="1" applyAlignment="1">
      <alignment horizontal="center" vertical="center" wrapText="1"/>
    </xf>
    <xf numFmtId="0" fontId="25" fillId="0" borderId="182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4" xfId="4" applyFont="1" applyFill="1" applyBorder="1" applyAlignment="1">
      <alignment horizontal="left" vertical="center" wrapText="1"/>
    </xf>
    <xf numFmtId="0" fontId="18" fillId="0" borderId="70" xfId="4" applyFont="1" applyBorder="1" applyAlignment="1">
      <alignment horizontal="center" vertical="center" wrapText="1"/>
    </xf>
    <xf numFmtId="0" fontId="0" fillId="0" borderId="171" xfId="0" applyFont="1" applyBorder="1" applyAlignment="1">
      <alignment horizontal="center" vertical="center" wrapText="1"/>
    </xf>
    <xf numFmtId="0" fontId="22" fillId="0" borderId="171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4" xfId="4" applyFont="1" applyBorder="1" applyAlignment="1">
      <alignment horizontal="center" vertical="center" wrapText="1"/>
    </xf>
    <xf numFmtId="0" fontId="20" fillId="19" borderId="70" xfId="4" applyFont="1" applyFill="1" applyBorder="1" applyAlignment="1">
      <alignment horizontal="center" vertical="center" wrapText="1"/>
    </xf>
    <xf numFmtId="0" fontId="0" fillId="19" borderId="171" xfId="0" applyFont="1" applyFill="1" applyBorder="1" applyAlignment="1">
      <alignment horizontal="center" vertical="center" wrapText="1"/>
    </xf>
    <xf numFmtId="0" fontId="17" fillId="0" borderId="70" xfId="4" applyFont="1" applyBorder="1" applyAlignment="1">
      <alignment horizontal="center" vertical="center" wrapText="1"/>
    </xf>
    <xf numFmtId="0" fontId="17" fillId="0" borderId="171" xfId="4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25" fillId="0" borderId="3" xfId="4" applyFont="1" applyBorder="1" applyAlignment="1">
      <alignment horizontal="center" vertical="center" wrapText="1"/>
    </xf>
    <xf numFmtId="0" fontId="25" fillId="0" borderId="4" xfId="4" applyFont="1" applyBorder="1" applyAlignment="1">
      <alignment horizontal="center" vertical="center" wrapText="1"/>
    </xf>
    <xf numFmtId="3" fontId="24" fillId="22" borderId="171" xfId="4" applyNumberFormat="1" applyFont="1" applyFill="1" applyBorder="1" applyAlignment="1">
      <alignment horizontal="center" vertical="center"/>
    </xf>
    <xf numFmtId="3" fontId="24" fillId="22" borderId="182" xfId="4" applyNumberFormat="1" applyFont="1" applyFill="1" applyBorder="1" applyAlignment="1">
      <alignment horizontal="center" vertical="center"/>
    </xf>
    <xf numFmtId="3" fontId="24" fillId="22" borderId="131" xfId="4" applyNumberFormat="1" applyFont="1" applyFill="1" applyBorder="1" applyAlignment="1">
      <alignment horizontal="center" vertical="center"/>
    </xf>
    <xf numFmtId="0" fontId="17" fillId="0" borderId="194" xfId="4" applyFont="1" applyFill="1" applyBorder="1" applyAlignment="1">
      <alignment horizontal="center" vertical="center"/>
    </xf>
    <xf numFmtId="0" fontId="37" fillId="0" borderId="199" xfId="0" applyFont="1" applyFill="1" applyBorder="1" applyAlignment="1">
      <alignment horizontal="center" vertical="center" wrapText="1"/>
    </xf>
    <xf numFmtId="3" fontId="25" fillId="2" borderId="197" xfId="4" applyNumberFormat="1" applyFont="1" applyFill="1" applyBorder="1" applyAlignment="1">
      <alignment horizontal="center" vertical="center" wrapText="1"/>
    </xf>
    <xf numFmtId="0" fontId="32" fillId="0" borderId="197" xfId="0" applyFont="1" applyBorder="1" applyAlignment="1">
      <alignment horizontal="center" vertical="center" wrapText="1"/>
    </xf>
    <xf numFmtId="0" fontId="25" fillId="2" borderId="197" xfId="4" applyFont="1" applyFill="1" applyBorder="1" applyAlignment="1">
      <alignment horizontal="center" vertical="center" wrapText="1"/>
    </xf>
    <xf numFmtId="0" fontId="32" fillId="0" borderId="197" xfId="0" applyFont="1" applyBorder="1" applyAlignment="1">
      <alignment wrapText="1"/>
    </xf>
    <xf numFmtId="49" fontId="22" fillId="0" borderId="5" xfId="3" applyNumberFormat="1" applyFont="1" applyBorder="1" applyAlignment="1">
      <alignment horizontal="center" vertical="center" wrapText="1"/>
    </xf>
    <xf numFmtId="49" fontId="22" fillId="0" borderId="11" xfId="3" applyNumberFormat="1" applyFont="1" applyBorder="1" applyAlignment="1">
      <alignment horizontal="center" vertical="center" wrapText="1"/>
    </xf>
    <xf numFmtId="49" fontId="22" fillId="0" borderId="25" xfId="3" applyNumberFormat="1" applyFont="1" applyBorder="1" applyAlignment="1">
      <alignment horizontal="center" vertical="center" wrapText="1"/>
    </xf>
    <xf numFmtId="0" fontId="24" fillId="2" borderId="141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17" fillId="0" borderId="5" xfId="0" quotePrefix="1" applyFont="1" applyFill="1" applyBorder="1" applyAlignment="1">
      <alignment horizontal="center" vertical="center" wrapText="1"/>
    </xf>
    <xf numFmtId="0" fontId="17" fillId="0" borderId="11" xfId="0" quotePrefix="1" applyFont="1" applyFill="1" applyBorder="1" applyAlignment="1">
      <alignment horizontal="center" vertical="center" wrapText="1"/>
    </xf>
    <xf numFmtId="0" fontId="17" fillId="0" borderId="25" xfId="0" quotePrefix="1" applyFont="1" applyFill="1" applyBorder="1" applyAlignment="1">
      <alignment horizontal="center" vertical="center" wrapText="1"/>
    </xf>
    <xf numFmtId="0" fontId="18" fillId="0" borderId="66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wrapText="1"/>
    </xf>
    <xf numFmtId="0" fontId="0" fillId="0" borderId="69" xfId="0" applyFont="1" applyBorder="1" applyAlignment="1">
      <alignment horizontal="center" wrapText="1"/>
    </xf>
    <xf numFmtId="0" fontId="24" fillId="0" borderId="14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3" fontId="25" fillId="22" borderId="140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0" fillId="0" borderId="26" xfId="0" applyFont="1" applyBorder="1"/>
    <xf numFmtId="0" fontId="0" fillId="0" borderId="68" xfId="0" applyFont="1" applyBorder="1"/>
    <xf numFmtId="0" fontId="18" fillId="0" borderId="5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49" fontId="22" fillId="0" borderId="66" xfId="3" applyNumberFormat="1" applyFont="1" applyBorder="1" applyAlignment="1">
      <alignment horizontal="center" vertical="center" wrapText="1"/>
    </xf>
    <xf numFmtId="49" fontId="22" fillId="0" borderId="67" xfId="3" applyNumberFormat="1" applyFont="1" applyBorder="1" applyAlignment="1">
      <alignment horizontal="center" vertical="center" wrapText="1"/>
    </xf>
    <xf numFmtId="49" fontId="22" fillId="0" borderId="69" xfId="3" applyNumberFormat="1" applyFont="1" applyBorder="1" applyAlignment="1">
      <alignment horizontal="center" vertical="center" wrapText="1"/>
    </xf>
    <xf numFmtId="0" fontId="0" fillId="0" borderId="69" xfId="0" applyFont="1" applyBorder="1"/>
    <xf numFmtId="0" fontId="17" fillId="2" borderId="5" xfId="0" quotePrefix="1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49" fontId="84" fillId="0" borderId="66" xfId="3" applyNumberFormat="1" applyFont="1" applyBorder="1" applyAlignment="1">
      <alignment horizontal="center" vertical="center" wrapText="1"/>
    </xf>
    <xf numFmtId="49" fontId="84" fillId="0" borderId="67" xfId="3" applyNumberFormat="1" applyFont="1" applyBorder="1" applyAlignment="1">
      <alignment horizontal="center" vertical="center" wrapText="1"/>
    </xf>
    <xf numFmtId="49" fontId="84" fillId="0" borderId="69" xfId="3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37" fillId="0" borderId="14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0" fillId="0" borderId="11" xfId="0" applyFont="1" applyBorder="1"/>
    <xf numFmtId="0" fontId="22" fillId="0" borderId="67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43" fontId="25" fillId="22" borderId="140" xfId="1" applyFont="1" applyFill="1" applyBorder="1" applyAlignment="1">
      <alignment horizontal="center" vertical="center"/>
    </xf>
    <xf numFmtId="43" fontId="25" fillId="22" borderId="43" xfId="1" applyFont="1" applyFill="1" applyBorder="1" applyAlignment="1">
      <alignment horizontal="center" vertical="center"/>
    </xf>
    <xf numFmtId="43" fontId="25" fillId="22" borderId="41" xfId="1" applyFont="1" applyFill="1" applyBorder="1" applyAlignment="1">
      <alignment horizontal="center" vertical="center"/>
    </xf>
    <xf numFmtId="0" fontId="17" fillId="0" borderId="66" xfId="4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0" fontId="17" fillId="0" borderId="69" xfId="4" applyFont="1" applyBorder="1" applyAlignment="1">
      <alignment horizontal="center" vertical="center" wrapText="1"/>
    </xf>
    <xf numFmtId="0" fontId="0" fillId="19" borderId="13" xfId="0" applyFont="1" applyFill="1" applyBorder="1" applyAlignment="1">
      <alignment horizontal="center" vertical="center" wrapText="1"/>
    </xf>
    <xf numFmtId="0" fontId="25" fillId="0" borderId="2" xfId="4" applyFont="1" applyBorder="1" applyAlignment="1">
      <alignment horizontal="center" vertical="center" wrapText="1"/>
    </xf>
    <xf numFmtId="0" fontId="25" fillId="0" borderId="7" xfId="4" applyFont="1" applyBorder="1" applyAlignment="1">
      <alignment horizontal="center" vertical="center" wrapText="1"/>
    </xf>
    <xf numFmtId="0" fontId="25" fillId="0" borderId="8" xfId="4" applyFont="1" applyBorder="1" applyAlignment="1">
      <alignment horizontal="center" vertical="center" wrapText="1"/>
    </xf>
    <xf numFmtId="0" fontId="25" fillId="0" borderId="9" xfId="4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vertical="top"/>
    </xf>
    <xf numFmtId="0" fontId="0" fillId="0" borderId="6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13" xfId="6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8" borderId="5" xfId="0" applyFont="1" applyFill="1" applyBorder="1" applyAlignment="1">
      <alignment horizontal="left" vertical="center" wrapText="1"/>
    </xf>
    <xf numFmtId="0" fontId="24" fillId="8" borderId="21" xfId="0" applyFont="1" applyFill="1" applyBorder="1" applyAlignment="1">
      <alignment horizontal="left" vertical="center" wrapText="1"/>
    </xf>
    <xf numFmtId="0" fontId="25" fillId="2" borderId="141" xfId="0" applyFont="1" applyFill="1" applyBorder="1" applyAlignment="1">
      <alignment horizontal="center" vertical="top" wrapText="1"/>
    </xf>
    <xf numFmtId="0" fontId="25" fillId="2" borderId="20" xfId="0" applyFont="1" applyFill="1" applyBorder="1" applyAlignment="1">
      <alignment horizontal="center" vertical="top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0" fillId="0" borderId="67" xfId="0" applyFont="1" applyBorder="1"/>
    <xf numFmtId="0" fontId="17" fillId="0" borderId="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23" fillId="0" borderId="13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3" fontId="20" fillId="0" borderId="42" xfId="0" applyNumberFormat="1" applyFont="1" applyFill="1" applyBorder="1" applyAlignment="1">
      <alignment horizontal="center" vertical="center" wrapText="1"/>
    </xf>
    <xf numFmtId="3" fontId="20" fillId="0" borderId="43" xfId="0" applyNumberFormat="1" applyFont="1" applyFill="1" applyBorder="1" applyAlignment="1">
      <alignment horizontal="center" vertical="center" wrapText="1"/>
    </xf>
    <xf numFmtId="3" fontId="20" fillId="0" borderId="46" xfId="0" applyNumberFormat="1" applyFont="1" applyFill="1" applyBorder="1" applyAlignment="1">
      <alignment horizontal="center" vertical="center" wrapText="1"/>
    </xf>
    <xf numFmtId="3" fontId="20" fillId="31" borderId="42" xfId="0" applyNumberFormat="1" applyFont="1" applyFill="1" applyBorder="1" applyAlignment="1">
      <alignment horizontal="center" vertical="center" wrapText="1"/>
    </xf>
    <xf numFmtId="3" fontId="20" fillId="31" borderId="43" xfId="0" applyNumberFormat="1" applyFont="1" applyFill="1" applyBorder="1" applyAlignment="1">
      <alignment horizontal="center" vertical="center" wrapText="1"/>
    </xf>
    <xf numFmtId="0" fontId="25" fillId="2" borderId="141" xfId="0" applyFont="1" applyFill="1" applyBorder="1" applyAlignment="1">
      <alignment horizontal="center" vertical="center" wrapText="1"/>
    </xf>
    <xf numFmtId="0" fontId="0" fillId="0" borderId="14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6" fillId="2" borderId="24" xfId="0" applyFont="1" applyFill="1" applyBorder="1" applyAlignment="1">
      <alignment horizontal="left" vertical="center" wrapText="1"/>
    </xf>
    <xf numFmtId="3" fontId="25" fillId="22" borderId="138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0" fontId="17" fillId="56" borderId="5" xfId="0" applyFont="1" applyFill="1" applyBorder="1" applyAlignment="1">
      <alignment horizontal="center" vertical="center" wrapText="1"/>
    </xf>
    <xf numFmtId="0" fontId="0" fillId="56" borderId="11" xfId="0" applyFont="1" applyFill="1" applyBorder="1" applyAlignment="1">
      <alignment vertical="center" wrapText="1"/>
    </xf>
    <xf numFmtId="0" fontId="0" fillId="56" borderId="25" xfId="0" applyFont="1" applyFill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8" fillId="0" borderId="6" xfId="4" applyFont="1" applyBorder="1" applyAlignment="1">
      <alignment horizontal="center" vertical="center" wrapText="1"/>
    </xf>
    <xf numFmtId="0" fontId="18" fillId="0" borderId="22" xfId="4" applyFont="1" applyBorder="1" applyAlignment="1">
      <alignment horizontal="center" vertical="center" wrapText="1"/>
    </xf>
    <xf numFmtId="0" fontId="18" fillId="0" borderId="13" xfId="4" applyFont="1" applyBorder="1" applyAlignment="1">
      <alignment horizontal="center" vertical="center" wrapText="1"/>
    </xf>
    <xf numFmtId="0" fontId="18" fillId="0" borderId="12" xfId="4" applyFont="1" applyBorder="1" applyAlignment="1">
      <alignment horizontal="center" vertical="center" wrapText="1"/>
    </xf>
    <xf numFmtId="3" fontId="25" fillId="22" borderId="182" xfId="0" applyNumberFormat="1" applyFont="1" applyFill="1" applyBorder="1" applyAlignment="1">
      <alignment horizontal="center" vertical="center"/>
    </xf>
    <xf numFmtId="3" fontId="24" fillId="22" borderId="138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0" fillId="0" borderId="26" xfId="0" applyNumberFormat="1" applyFont="1" applyBorder="1" applyAlignment="1">
      <alignment horizontal="justify" vertical="top" wrapText="1"/>
    </xf>
    <xf numFmtId="3" fontId="0" fillId="0" borderId="0" xfId="0" applyNumberFormat="1" applyFont="1" applyBorder="1" applyAlignment="1">
      <alignment horizontal="justify" vertical="top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3" fontId="25" fillId="22" borderId="200" xfId="0" applyNumberFormat="1" applyFont="1" applyFill="1" applyBorder="1" applyAlignment="1">
      <alignment horizontal="center" vertical="center"/>
    </xf>
    <xf numFmtId="3" fontId="25" fillId="22" borderId="96" xfId="0" applyNumberFormat="1" applyFont="1" applyFill="1" applyBorder="1" applyAlignment="1">
      <alignment horizontal="center" vertical="center"/>
    </xf>
    <xf numFmtId="0" fontId="23" fillId="0" borderId="92" xfId="0" applyFont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 wrapText="1"/>
    </xf>
    <xf numFmtId="0" fontId="23" fillId="0" borderId="202" xfId="0" applyFont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5" fillId="2" borderId="92" xfId="0" applyFont="1" applyFill="1" applyBorder="1" applyAlignment="1">
      <alignment horizontal="center" vertical="center" wrapText="1"/>
    </xf>
    <xf numFmtId="3" fontId="25" fillId="22" borderId="119" xfId="0" applyNumberFormat="1" applyFont="1" applyFill="1" applyBorder="1" applyAlignment="1">
      <alignment horizontal="center" vertical="center"/>
    </xf>
    <xf numFmtId="0" fontId="19" fillId="0" borderId="179" xfId="4" applyFont="1" applyFill="1" applyBorder="1" applyAlignment="1">
      <alignment horizontal="center" vertical="center" wrapText="1"/>
    </xf>
    <xf numFmtId="0" fontId="19" fillId="0" borderId="26" xfId="4" applyFont="1" applyFill="1" applyBorder="1" applyAlignment="1">
      <alignment horizontal="center" vertical="center" wrapText="1"/>
    </xf>
    <xf numFmtId="0" fontId="19" fillId="0" borderId="68" xfId="4" applyFont="1" applyFill="1" applyBorder="1" applyAlignment="1">
      <alignment horizontal="center" vertical="center" wrapText="1"/>
    </xf>
    <xf numFmtId="3" fontId="24" fillId="22" borderId="182" xfId="0" applyNumberFormat="1" applyFont="1" applyFill="1" applyBorder="1" applyAlignment="1">
      <alignment horizontal="center" vertical="center"/>
    </xf>
    <xf numFmtId="0" fontId="8" fillId="0" borderId="107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3" fontId="24" fillId="22" borderId="103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3" fontId="25" fillId="22" borderId="103" xfId="0" applyNumberFormat="1" applyFont="1" applyFill="1" applyBorder="1" applyAlignment="1">
      <alignment horizontal="center" vertical="center"/>
    </xf>
    <xf numFmtId="0" fontId="25" fillId="2" borderId="202" xfId="0" applyFont="1" applyFill="1" applyBorder="1" applyAlignment="1">
      <alignment horizontal="center" vertical="center" wrapText="1"/>
    </xf>
    <xf numFmtId="0" fontId="17" fillId="0" borderId="108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07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19" borderId="12" xfId="4" applyFont="1" applyFill="1" applyBorder="1" applyAlignment="1">
      <alignment horizontal="center" vertical="center" wrapText="1"/>
    </xf>
    <xf numFmtId="0" fontId="25" fillId="0" borderId="79" xfId="4" applyFont="1" applyBorder="1" applyAlignment="1">
      <alignment horizontal="center" vertical="center" wrapText="1"/>
    </xf>
    <xf numFmtId="3" fontId="24" fillId="22" borderId="96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32" fillId="0" borderId="41" xfId="0" applyFont="1" applyBorder="1"/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3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0" fontId="25" fillId="8" borderId="141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5" fillId="0" borderId="141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7" fillId="0" borderId="10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" fillId="0" borderId="107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3" fontId="25" fillId="2" borderId="182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23" fillId="0" borderId="18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" fontId="25" fillId="25" borderId="112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4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5" fillId="2" borderId="138" xfId="4" applyNumberFormat="1" applyFont="1" applyFill="1" applyBorder="1" applyAlignment="1">
      <alignment horizontal="center" vertical="center" wrapText="1"/>
    </xf>
    <xf numFmtId="0" fontId="23" fillId="0" borderId="13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 wrapText="1"/>
    </xf>
    <xf numFmtId="3" fontId="25" fillId="2" borderId="137" xfId="4" applyNumberFormat="1" applyFont="1" applyFill="1" applyBorder="1" applyAlignment="1">
      <alignment horizontal="center" vertical="center" wrapText="1"/>
    </xf>
    <xf numFmtId="0" fontId="32" fillId="0" borderId="13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3" fontId="25" fillId="25" borderId="138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0" fontId="0" fillId="0" borderId="41" xfId="0" applyFont="1" applyBorder="1"/>
    <xf numFmtId="3" fontId="25" fillId="22" borderId="138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5" fillId="2" borderId="12" xfId="4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37" xfId="4" applyFont="1" applyFill="1" applyBorder="1" applyAlignment="1">
      <alignment horizontal="center" vertical="center"/>
    </xf>
    <xf numFmtId="0" fontId="27" fillId="8" borderId="138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38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3" fontId="25" fillId="22" borderId="182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25" fillId="2" borderId="22" xfId="4" applyFont="1" applyFill="1" applyBorder="1" applyAlignment="1">
      <alignment horizontal="center" vertical="center" wrapText="1"/>
    </xf>
    <xf numFmtId="3" fontId="24" fillId="34" borderId="182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18" fillId="0" borderId="66" xfId="4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18" fillId="0" borderId="69" xfId="4" applyFont="1" applyFill="1" applyBorder="1" applyAlignment="1">
      <alignment horizontal="center" vertical="center" wrapText="1"/>
    </xf>
    <xf numFmtId="0" fontId="25" fillId="2" borderId="176" xfId="4" applyFont="1" applyFill="1" applyBorder="1" applyAlignment="1">
      <alignment horizontal="center" vertical="center" wrapText="1"/>
    </xf>
    <xf numFmtId="0" fontId="0" fillId="0" borderId="190" xfId="0" applyFont="1" applyBorder="1"/>
    <xf numFmtId="0" fontId="32" fillId="0" borderId="176" xfId="0" applyFont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 wrapText="1"/>
    </xf>
    <xf numFmtId="0" fontId="0" fillId="0" borderId="144" xfId="0" applyFont="1" applyBorder="1"/>
    <xf numFmtId="0" fontId="24" fillId="0" borderId="41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20" fillId="2" borderId="6" xfId="4" applyFont="1" applyFill="1" applyBorder="1" applyAlignment="1">
      <alignment horizontal="center" vertical="center" wrapText="1"/>
    </xf>
    <xf numFmtId="0" fontId="20" fillId="2" borderId="6" xfId="4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wrapText="1" shrinkToFit="1"/>
    </xf>
    <xf numFmtId="0" fontId="21" fillId="0" borderId="13" xfId="4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 shrinkToFit="1"/>
    </xf>
    <xf numFmtId="0" fontId="24" fillId="0" borderId="46" xfId="4" applyFont="1" applyFill="1" applyBorder="1" applyAlignment="1">
      <alignment horizontal="center" vertical="center"/>
    </xf>
    <xf numFmtId="0" fontId="18" fillId="0" borderId="171" xfId="4" applyFont="1" applyFill="1" applyBorder="1" applyAlignment="1">
      <alignment horizontal="center" vertical="center" wrapText="1"/>
    </xf>
    <xf numFmtId="0" fontId="24" fillId="2" borderId="176" xfId="4" applyFont="1" applyFill="1" applyBorder="1" applyAlignment="1">
      <alignment horizontal="center" vertical="center" wrapText="1"/>
    </xf>
    <xf numFmtId="0" fontId="24" fillId="2" borderId="176" xfId="4" applyFont="1" applyFill="1" applyBorder="1" applyAlignment="1">
      <alignment horizontal="center" vertical="center" wrapText="1" shrinkToFit="1"/>
    </xf>
    <xf numFmtId="0" fontId="24" fillId="0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25" fillId="2" borderId="188" xfId="4" applyFont="1" applyFill="1" applyBorder="1" applyAlignment="1">
      <alignment horizontal="center" vertical="center" wrapText="1"/>
    </xf>
    <xf numFmtId="0" fontId="18" fillId="0" borderId="35" xfId="4" applyFont="1" applyFill="1" applyBorder="1" applyAlignment="1">
      <alignment horizontal="center" vertical="center" wrapText="1"/>
    </xf>
    <xf numFmtId="0" fontId="32" fillId="0" borderId="176" xfId="0" applyFont="1" applyBorder="1" applyAlignment="1">
      <alignment horizontal="center" wrapText="1"/>
    </xf>
    <xf numFmtId="0" fontId="32" fillId="0" borderId="172" xfId="0" applyFont="1" applyBorder="1" applyAlignment="1">
      <alignment horizontal="center" wrapText="1"/>
    </xf>
    <xf numFmtId="0" fontId="25" fillId="2" borderId="172" xfId="4" applyFont="1" applyFill="1" applyBorder="1" applyAlignment="1">
      <alignment horizontal="center" vertical="center" wrapText="1"/>
    </xf>
    <xf numFmtId="0" fontId="24" fillId="0" borderId="43" xfId="4" quotePrefix="1" applyFont="1" applyFill="1" applyBorder="1" applyAlignment="1">
      <alignment horizontal="center" vertical="center"/>
    </xf>
    <xf numFmtId="0" fontId="24" fillId="0" borderId="10" xfId="4" applyFont="1" applyFill="1" applyBorder="1" applyAlignment="1">
      <alignment horizontal="center" vertical="center"/>
    </xf>
    <xf numFmtId="0" fontId="24" fillId="0" borderId="74" xfId="4" applyFont="1" applyFill="1" applyBorder="1" applyAlignment="1">
      <alignment horizontal="center" vertical="center"/>
    </xf>
    <xf numFmtId="0" fontId="18" fillId="0" borderId="138" xfId="4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 vertical="center" wrapText="1"/>
    </xf>
    <xf numFmtId="0" fontId="25" fillId="2" borderId="148" xfId="4" applyFont="1" applyFill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 wrapText="1"/>
    </xf>
    <xf numFmtId="0" fontId="25" fillId="0" borderId="192" xfId="4" applyFont="1" applyFill="1" applyBorder="1" applyAlignment="1">
      <alignment horizontal="center" vertical="center" wrapText="1"/>
    </xf>
    <xf numFmtId="0" fontId="32" fillId="0" borderId="192" xfId="0" applyFont="1" applyFill="1" applyBorder="1" applyAlignment="1">
      <alignment horizontal="center" vertical="center" wrapText="1"/>
    </xf>
    <xf numFmtId="0" fontId="32" fillId="0" borderId="194" xfId="0" applyFont="1" applyFill="1" applyBorder="1" applyAlignment="1">
      <alignment horizontal="center" vertical="center" wrapText="1"/>
    </xf>
    <xf numFmtId="0" fontId="25" fillId="0" borderId="194" xfId="4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3" fontId="24" fillId="34" borderId="197" xfId="4" applyNumberFormat="1" applyFont="1" applyFill="1" applyBorder="1" applyAlignment="1">
      <alignment horizontal="center" vertical="center"/>
    </xf>
    <xf numFmtId="3" fontId="24" fillId="34" borderId="131" xfId="4" applyNumberFormat="1" applyFont="1" applyFill="1" applyBorder="1" applyAlignment="1">
      <alignment horizontal="center" vertical="center"/>
    </xf>
    <xf numFmtId="0" fontId="25" fillId="0" borderId="176" xfId="4" applyFont="1" applyFill="1" applyBorder="1" applyAlignment="1">
      <alignment horizontal="center" vertical="center" wrapText="1"/>
    </xf>
    <xf numFmtId="0" fontId="32" fillId="0" borderId="176" xfId="0" applyFont="1" applyFill="1" applyBorder="1" applyAlignment="1">
      <alignment horizontal="center" vertical="center" wrapText="1"/>
    </xf>
    <xf numFmtId="3" fontId="24" fillId="34" borderId="171" xfId="4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42" fillId="2" borderId="0" xfId="0" applyFont="1" applyFill="1" applyBorder="1" applyAlignment="1">
      <alignment horizontal="left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9" xfId="4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24" fillId="0" borderId="41" xfId="4" quotePrefix="1" applyFont="1" applyFill="1" applyBorder="1" applyAlignment="1">
      <alignment horizontal="center" vertical="center"/>
    </xf>
    <xf numFmtId="0" fontId="24" fillId="2" borderId="37" xfId="4" applyFont="1" applyFill="1" applyBorder="1" applyAlignment="1">
      <alignment horizontal="center" vertical="center" wrapText="1"/>
    </xf>
    <xf numFmtId="3" fontId="25" fillId="22" borderId="138" xfId="4" applyNumberFormat="1" applyFont="1" applyFill="1" applyBorder="1" applyAlignment="1">
      <alignment horizontal="center" vertical="center"/>
    </xf>
    <xf numFmtId="0" fontId="0" fillId="0" borderId="41" xfId="0" applyFont="1" applyBorder="1" applyAlignment="1">
      <alignment vertical="center"/>
    </xf>
    <xf numFmtId="3" fontId="25" fillId="2" borderId="92" xfId="4" applyNumberFormat="1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25" fillId="2" borderId="92" xfId="4" applyFont="1" applyFill="1" applyBorder="1" applyAlignment="1">
      <alignment horizontal="center" vertical="center" wrapText="1"/>
    </xf>
    <xf numFmtId="3" fontId="17" fillId="26" borderId="96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3" fontId="17" fillId="26" borderId="182" xfId="4" applyNumberFormat="1" applyFont="1" applyFill="1" applyBorder="1" applyAlignment="1">
      <alignment horizontal="center" vertical="center"/>
    </xf>
    <xf numFmtId="3" fontId="24" fillId="26" borderId="96" xfId="4" applyNumberFormat="1" applyFont="1" applyFill="1" applyBorder="1" applyAlignment="1">
      <alignment horizontal="center" vertical="center"/>
    </xf>
    <xf numFmtId="0" fontId="0" fillId="0" borderId="67" xfId="0" applyFont="1" applyBorder="1" applyAlignment="1">
      <alignment horizontal="center" vertical="center" wrapText="1"/>
    </xf>
    <xf numFmtId="0" fontId="0" fillId="0" borderId="69" xfId="0" applyFont="1" applyBorder="1" applyAlignment="1">
      <alignment vertical="center"/>
    </xf>
    <xf numFmtId="3" fontId="17" fillId="26" borderId="200" xfId="4" applyNumberFormat="1" applyFont="1" applyFill="1" applyBorder="1" applyAlignment="1">
      <alignment horizontal="center" vertical="center"/>
    </xf>
    <xf numFmtId="0" fontId="0" fillId="0" borderId="67" xfId="0" applyFont="1" applyBorder="1" applyAlignment="1">
      <alignment vertical="center"/>
    </xf>
    <xf numFmtId="0" fontId="0" fillId="0" borderId="69" xfId="0" applyFont="1" applyBorder="1" applyAlignment="1">
      <alignment horizontal="center" vertical="center" wrapText="1"/>
    </xf>
    <xf numFmtId="3" fontId="25" fillId="2" borderId="26" xfId="4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vertical="center"/>
    </xf>
    <xf numFmtId="0" fontId="0" fillId="0" borderId="85" xfId="0" applyFont="1" applyBorder="1" applyAlignment="1">
      <alignment vertical="center"/>
    </xf>
    <xf numFmtId="0" fontId="25" fillId="2" borderId="86" xfId="4" applyFont="1" applyFill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0" fillId="0" borderId="68" xfId="0" applyFont="1" applyBorder="1" applyAlignment="1">
      <alignment vertical="center"/>
    </xf>
    <xf numFmtId="0" fontId="32" fillId="0" borderId="27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25" fillId="2" borderId="123" xfId="4" applyFont="1" applyFill="1" applyBorder="1" applyAlignment="1">
      <alignment horizontal="center" vertical="center" wrapText="1"/>
    </xf>
    <xf numFmtId="3" fontId="24" fillId="26" borderId="130" xfId="4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18" fillId="0" borderId="210" xfId="0" applyFont="1" applyFill="1" applyBorder="1" applyAlignment="1">
      <alignment horizontal="center" vertical="center" wrapText="1"/>
    </xf>
    <xf numFmtId="0" fontId="25" fillId="32" borderId="200" xfId="4" applyFont="1" applyFill="1" applyBorder="1" applyAlignment="1">
      <alignment horizontal="center" vertical="center" wrapText="1"/>
    </xf>
    <xf numFmtId="0" fontId="25" fillId="32" borderId="13" xfId="4" applyFont="1" applyFill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left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5" xfId="112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18" fillId="0" borderId="66" xfId="112" applyFont="1" applyFill="1" applyBorder="1" applyAlignment="1">
      <alignment horizontal="center" vertical="center" wrapText="1"/>
    </xf>
    <xf numFmtId="0" fontId="18" fillId="0" borderId="67" xfId="112" applyFont="1" applyFill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4" fillId="0" borderId="69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3" fontId="24" fillId="26" borderId="138" xfId="4" applyNumberFormat="1" applyFont="1" applyFill="1" applyBorder="1" applyAlignment="1">
      <alignment horizontal="center" vertical="center"/>
    </xf>
    <xf numFmtId="0" fontId="66" fillId="0" borderId="42" xfId="0" applyFont="1" applyFill="1" applyBorder="1" applyAlignment="1">
      <alignment horizontal="center" vertical="center" wrapText="1"/>
    </xf>
    <xf numFmtId="0" fontId="66" fillId="0" borderId="43" xfId="0" applyFont="1" applyFill="1" applyBorder="1" applyAlignment="1">
      <alignment horizontal="center" vertical="center" wrapText="1"/>
    </xf>
    <xf numFmtId="0" fontId="67" fillId="0" borderId="4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25" xfId="112" applyNumberFormat="1" applyFont="1" applyBorder="1" applyAlignment="1">
      <alignment horizontal="center" vertical="center" wrapText="1"/>
    </xf>
    <xf numFmtId="2" fontId="62" fillId="0" borderId="25" xfId="112" applyNumberFormat="1" applyFont="1" applyBorder="1" applyAlignment="1">
      <alignment horizontal="center" vertical="center" wrapText="1"/>
    </xf>
    <xf numFmtId="0" fontId="30" fillId="0" borderId="69" xfId="4" applyFont="1" applyFill="1" applyBorder="1" applyAlignment="1">
      <alignment horizontal="center" vertical="center" wrapText="1"/>
    </xf>
    <xf numFmtId="2" fontId="4" fillId="0" borderId="11" xfId="112" applyNumberFormat="1" applyFont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71" fillId="37" borderId="88" xfId="4" applyFont="1" applyFill="1" applyBorder="1" applyAlignment="1">
      <alignment horizontal="left" vertical="center" wrapText="1"/>
    </xf>
    <xf numFmtId="0" fontId="0" fillId="37" borderId="50" xfId="0" applyFont="1" applyFill="1" applyBorder="1" applyAlignment="1">
      <alignment vertical="center" wrapText="1"/>
    </xf>
    <xf numFmtId="0" fontId="71" fillId="6" borderId="88" xfId="4" applyFont="1" applyFill="1" applyBorder="1" applyAlignment="1">
      <alignment horizontal="left" vertical="center" wrapText="1"/>
    </xf>
    <xf numFmtId="0" fontId="0" fillId="6" borderId="50" xfId="0" applyFont="1" applyFill="1" applyBorder="1" applyAlignment="1">
      <alignment vertical="center" wrapText="1"/>
    </xf>
    <xf numFmtId="0" fontId="71" fillId="6" borderId="88" xfId="4" applyFont="1" applyFill="1" applyBorder="1" applyAlignment="1">
      <alignment horizontal="left" vertical="center"/>
    </xf>
    <xf numFmtId="0" fontId="0" fillId="6" borderId="50" xfId="0" applyFont="1" applyFill="1" applyBorder="1" applyAlignment="1">
      <alignment vertical="center"/>
    </xf>
    <xf numFmtId="0" fontId="73" fillId="37" borderId="88" xfId="0" applyFont="1" applyFill="1" applyBorder="1" applyAlignment="1">
      <alignment horizontal="left" vertical="center"/>
    </xf>
    <xf numFmtId="0" fontId="73" fillId="37" borderId="50" xfId="0" applyFont="1" applyFill="1" applyBorder="1" applyAlignment="1">
      <alignment horizontal="left" vertical="center"/>
    </xf>
    <xf numFmtId="0" fontId="71" fillId="37" borderId="68" xfId="4" applyFont="1" applyFill="1" applyBorder="1" applyAlignment="1">
      <alignment horizontal="left" vertical="center" wrapText="1"/>
    </xf>
    <xf numFmtId="0" fontId="0" fillId="37" borderId="23" xfId="0" applyFont="1" applyFill="1" applyBorder="1" applyAlignment="1">
      <alignment vertical="center" wrapText="1"/>
    </xf>
    <xf numFmtId="0" fontId="81" fillId="0" borderId="1" xfId="4" applyFont="1" applyFill="1" applyBorder="1" applyAlignment="1">
      <alignment horizontal="center" vertical="center" wrapText="1"/>
    </xf>
    <xf numFmtId="0" fontId="81" fillId="0" borderId="4" xfId="4" applyFont="1" applyFill="1" applyBorder="1" applyAlignment="1">
      <alignment horizontal="center" vertical="center" wrapText="1"/>
    </xf>
    <xf numFmtId="0" fontId="82" fillId="4" borderId="85" xfId="4" applyFont="1" applyFill="1" applyBorder="1" applyAlignment="1">
      <alignment horizontal="left" vertical="center"/>
    </xf>
    <xf numFmtId="0" fontId="41" fillId="4" borderId="9" xfId="0" applyFont="1" applyFill="1" applyBorder="1" applyAlignment="1">
      <alignment vertical="center"/>
    </xf>
    <xf numFmtId="0" fontId="82" fillId="6" borderId="84" xfId="4" applyFont="1" applyFill="1" applyBorder="1" applyAlignment="1">
      <alignment horizontal="left" vertical="center"/>
    </xf>
    <xf numFmtId="0" fontId="41" fillId="6" borderId="29" xfId="0" applyFont="1" applyFill="1" applyBorder="1" applyAlignment="1">
      <alignment vertical="center"/>
    </xf>
    <xf numFmtId="0" fontId="82" fillId="62" borderId="178" xfId="4" applyFont="1" applyFill="1" applyBorder="1" applyAlignment="1">
      <alignment horizontal="left" vertical="center" wrapText="1"/>
    </xf>
    <xf numFmtId="0" fontId="41" fillId="62" borderId="172" xfId="0" applyFont="1" applyFill="1" applyBorder="1" applyAlignment="1">
      <alignment vertical="center" wrapText="1"/>
    </xf>
    <xf numFmtId="0" fontId="82" fillId="6" borderId="85" xfId="4" applyFont="1" applyFill="1" applyBorder="1" applyAlignment="1">
      <alignment horizontal="left" vertical="center" wrapText="1"/>
    </xf>
    <xf numFmtId="0" fontId="41" fillId="6" borderId="9" xfId="0" applyFont="1" applyFill="1" applyBorder="1" applyAlignment="1">
      <alignment vertical="center" wrapText="1"/>
    </xf>
    <xf numFmtId="0" fontId="82" fillId="62" borderId="178" xfId="4" applyFont="1" applyFill="1" applyBorder="1" applyAlignment="1">
      <alignment horizontal="left" vertical="center"/>
    </xf>
    <xf numFmtId="0" fontId="41" fillId="62" borderId="172" xfId="0" applyFont="1" applyFill="1" applyBorder="1" applyAlignment="1">
      <alignment vertical="center"/>
    </xf>
    <xf numFmtId="0" fontId="82" fillId="6" borderId="85" xfId="4" applyFont="1" applyFill="1" applyBorder="1" applyAlignment="1">
      <alignment horizontal="left" vertical="center"/>
    </xf>
    <xf numFmtId="0" fontId="41" fillId="6" borderId="9" xfId="0" applyFont="1" applyFill="1" applyBorder="1" applyAlignment="1">
      <alignment vertical="center"/>
    </xf>
    <xf numFmtId="0" fontId="71" fillId="37" borderId="88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  <xf numFmtId="0" fontId="76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3" fontId="31" fillId="23" borderId="131" xfId="4" applyNumberFormat="1" applyFont="1" applyFill="1" applyBorder="1" applyAlignment="1">
      <alignment vertical="center"/>
    </xf>
    <xf numFmtId="3" fontId="31" fillId="23" borderId="197" xfId="4" applyNumberFormat="1" applyFont="1" applyFill="1" applyBorder="1" applyAlignment="1">
      <alignment vertical="center"/>
    </xf>
    <xf numFmtId="3" fontId="31" fillId="23" borderId="35" xfId="0" applyNumberFormat="1" applyFont="1" applyFill="1" applyBorder="1" applyAlignment="1">
      <alignment vertical="center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CC"/>
      <color rgb="FF66FF66"/>
      <color rgb="FF00FF00"/>
      <color rgb="FF003300"/>
      <color rgb="FF00CC00"/>
      <color rgb="FF0000FF"/>
      <color rgb="FFFF0000"/>
      <color rgb="FFFF33CC"/>
      <color rgb="FFCC00FF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65</xdr:row>
      <xdr:rowOff>0</xdr:rowOff>
    </xdr:from>
    <xdr:to>
      <xdr:col>17</xdr:col>
      <xdr:colOff>0</xdr:colOff>
      <xdr:row>65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  <cell r="N7">
            <v>65059576</v>
          </cell>
        </row>
        <row r="8">
          <cell r="K8">
            <v>155678690</v>
          </cell>
          <cell r="N8">
            <v>49018142</v>
          </cell>
        </row>
        <row r="13">
          <cell r="K13">
            <v>2071007</v>
          </cell>
          <cell r="N13">
            <v>3889275</v>
          </cell>
        </row>
        <row r="14">
          <cell r="K14">
            <v>2071007</v>
          </cell>
          <cell r="N14">
            <v>3889275</v>
          </cell>
        </row>
        <row r="17">
          <cell r="K17">
            <v>5027207</v>
          </cell>
          <cell r="N17">
            <v>3955373</v>
          </cell>
        </row>
        <row r="18">
          <cell r="K18">
            <v>5078627</v>
          </cell>
          <cell r="N18">
            <v>6218524</v>
          </cell>
        </row>
        <row r="19">
          <cell r="K19">
            <v>1230114</v>
          </cell>
          <cell r="N19">
            <v>1533867</v>
          </cell>
        </row>
        <row r="20">
          <cell r="K20">
            <v>1230114</v>
          </cell>
          <cell r="N20">
            <v>1523256</v>
          </cell>
        </row>
        <row r="23">
          <cell r="K23">
            <v>448847</v>
          </cell>
          <cell r="N23">
            <v>1310999</v>
          </cell>
        </row>
        <row r="24">
          <cell r="K24">
            <v>378288</v>
          </cell>
          <cell r="N24">
            <v>1104910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P1043"/>
  <sheetViews>
    <sheetView showGridLines="0" tabSelected="1" view="pageBreakPreview" zoomScaleNormal="110" zoomScaleSheetLayoutView="100" workbookViewId="0"/>
  </sheetViews>
  <sheetFormatPr defaultColWidth="9.140625" defaultRowHeight="12.75" outlineLevelCol="1"/>
  <cols>
    <col min="1" max="1" width="49.140625" style="1512" customWidth="1"/>
    <col min="2" max="2" width="16" style="1513" customWidth="1"/>
    <col min="3" max="4" width="13.85546875" style="1513" customWidth="1"/>
    <col min="5" max="5" width="13" style="1513" customWidth="1"/>
    <col min="6" max="6" width="12.85546875" style="1513" customWidth="1"/>
    <col min="7" max="8" width="13.140625" style="1513" customWidth="1"/>
    <col min="9" max="9" width="14.42578125" style="1513" customWidth="1"/>
    <col min="10" max="10" width="16.140625" style="1512" customWidth="1"/>
    <col min="11" max="11" width="14.5703125" style="1515" customWidth="1" outlineLevel="1"/>
    <col min="12" max="12" width="17.28515625" style="1515" hidden="1" customWidth="1" outlineLevel="1"/>
    <col min="13" max="13" width="14.7109375" style="1512" hidden="1" customWidth="1"/>
    <col min="14" max="14" width="14.28515625" style="1512" hidden="1" customWidth="1"/>
    <col min="15" max="15" width="0" style="1512" hidden="1" customWidth="1"/>
    <col min="16" max="16" width="9.7109375" style="1512" hidden="1" customWidth="1"/>
    <col min="17" max="16384" width="9.140625" style="1512"/>
  </cols>
  <sheetData>
    <row r="1" spans="1:14" ht="23.25" customHeight="1">
      <c r="A1" s="1511" t="s">
        <v>407</v>
      </c>
      <c r="E1" s="1514"/>
      <c r="G1" s="1514"/>
      <c r="H1" s="1514"/>
      <c r="I1" s="1514"/>
    </row>
    <row r="2" spans="1:14" ht="15">
      <c r="C2" s="1517"/>
      <c r="D2" s="1517"/>
      <c r="E2" s="1517"/>
      <c r="G2" s="1517"/>
      <c r="H2" s="1517"/>
      <c r="I2" s="1514" t="s">
        <v>429</v>
      </c>
      <c r="J2" s="1516"/>
    </row>
    <row r="3" spans="1:14">
      <c r="B3" s="2760"/>
      <c r="C3" s="1517"/>
      <c r="D3" s="1517"/>
      <c r="E3" s="1517"/>
      <c r="F3" s="1517"/>
      <c r="G3" s="1517"/>
      <c r="H3" s="1517"/>
      <c r="I3" s="1517"/>
      <c r="J3" s="1516"/>
    </row>
    <row r="4" spans="1:14" ht="12.75" customHeight="1">
      <c r="C4" s="1516"/>
      <c r="D4" s="1516"/>
      <c r="E4" s="1516"/>
      <c r="F4" s="1516"/>
      <c r="G4" s="1516"/>
      <c r="H4" s="1516"/>
      <c r="I4" s="1516"/>
      <c r="J4" s="2766"/>
    </row>
    <row r="5" spans="1:14" ht="72" customHeight="1">
      <c r="A5" s="3076" t="s">
        <v>0</v>
      </c>
      <c r="B5" s="3076"/>
      <c r="C5" s="3076"/>
      <c r="D5" s="3076"/>
      <c r="E5" s="3076"/>
      <c r="F5" s="3076"/>
      <c r="G5" s="3076"/>
      <c r="H5" s="3076"/>
      <c r="I5" s="3076"/>
      <c r="J5" s="3076"/>
      <c r="K5" s="2030"/>
    </row>
    <row r="6" spans="1:14" ht="12" customHeight="1">
      <c r="A6" s="1518"/>
      <c r="B6" s="1518"/>
      <c r="C6" s="1518"/>
      <c r="D6" s="1518"/>
      <c r="E6" s="1518"/>
      <c r="F6" s="1518"/>
      <c r="G6" s="1518"/>
      <c r="H6" s="1518"/>
      <c r="I6" s="1518"/>
      <c r="J6" s="1518"/>
    </row>
    <row r="7" spans="1:14" ht="48.75" customHeight="1" thickBot="1">
      <c r="A7" s="3077" t="s">
        <v>1</v>
      </c>
      <c r="B7" s="3077"/>
      <c r="C7" s="3077"/>
      <c r="D7" s="3077"/>
      <c r="E7" s="3077"/>
      <c r="F7" s="3077"/>
      <c r="G7" s="3077"/>
      <c r="H7" s="3077"/>
      <c r="I7" s="3077"/>
      <c r="J7" s="3077"/>
      <c r="K7" s="2031"/>
    </row>
    <row r="8" spans="1:14" s="1513" customFormat="1" ht="24.75" customHeight="1">
      <c r="A8" s="1519"/>
      <c r="B8" s="3081" t="s">
        <v>295</v>
      </c>
      <c r="C8" s="3083" t="s">
        <v>414</v>
      </c>
      <c r="D8" s="3083"/>
      <c r="E8" s="3083"/>
      <c r="F8" s="3083"/>
      <c r="G8" s="3083"/>
      <c r="H8" s="3083"/>
      <c r="I8" s="3084"/>
      <c r="J8" s="3078" t="s">
        <v>3</v>
      </c>
      <c r="K8" s="3066" t="s">
        <v>430</v>
      </c>
      <c r="L8" s="1520"/>
    </row>
    <row r="9" spans="1:14" ht="27" customHeight="1">
      <c r="A9" s="1521" t="s">
        <v>4</v>
      </c>
      <c r="B9" s="3082"/>
      <c r="C9" s="3085"/>
      <c r="D9" s="3085"/>
      <c r="E9" s="3085"/>
      <c r="F9" s="3085"/>
      <c r="G9" s="3085"/>
      <c r="H9" s="3085"/>
      <c r="I9" s="3086"/>
      <c r="J9" s="3079"/>
      <c r="K9" s="3067"/>
      <c r="L9" s="1520" t="s">
        <v>2</v>
      </c>
    </row>
    <row r="10" spans="1:14" ht="19.5" customHeight="1" thickBot="1">
      <c r="A10" s="1521"/>
      <c r="B10" s="1522" t="s">
        <v>555</v>
      </c>
      <c r="C10" s="1523" t="s">
        <v>5</v>
      </c>
      <c r="D10" s="1523" t="s">
        <v>6</v>
      </c>
      <c r="E10" s="1523" t="s">
        <v>229</v>
      </c>
      <c r="F10" s="1523" t="s">
        <v>231</v>
      </c>
      <c r="G10" s="1523" t="s">
        <v>286</v>
      </c>
      <c r="H10" s="1523" t="s">
        <v>287</v>
      </c>
      <c r="I10" s="1524" t="s">
        <v>285</v>
      </c>
      <c r="J10" s="3080"/>
      <c r="K10" s="3067"/>
      <c r="L10" s="260"/>
      <c r="M10" s="1525"/>
    </row>
    <row r="11" spans="1:14" ht="13.5" customHeight="1" thickBot="1">
      <c r="A11" s="1526">
        <v>1</v>
      </c>
      <c r="B11" s="1527">
        <v>2</v>
      </c>
      <c r="C11" s="1528">
        <v>3</v>
      </c>
      <c r="D11" s="1527">
        <v>4</v>
      </c>
      <c r="E11" s="1529">
        <v>5</v>
      </c>
      <c r="F11" s="1530">
        <v>6</v>
      </c>
      <c r="G11" s="1531">
        <v>7</v>
      </c>
      <c r="H11" s="1527">
        <v>8</v>
      </c>
      <c r="I11" s="1531">
        <v>9</v>
      </c>
      <c r="J11" s="1532">
        <v>10</v>
      </c>
      <c r="K11" s="1533">
        <v>11</v>
      </c>
      <c r="M11" s="3064" t="s">
        <v>42</v>
      </c>
      <c r="N11" s="3065"/>
    </row>
    <row r="12" spans="1:14" s="1540" customFormat="1" ht="18.75" customHeight="1">
      <c r="A12" s="1534" t="s">
        <v>7</v>
      </c>
      <c r="B12" s="1535">
        <f>+B13+B14</f>
        <v>249106825</v>
      </c>
      <c r="C12" s="1535">
        <f t="shared" ref="C12:D12" si="0">+C13+C14</f>
        <v>329309739</v>
      </c>
      <c r="D12" s="1535">
        <f t="shared" si="0"/>
        <v>522669967</v>
      </c>
      <c r="E12" s="1535">
        <f t="shared" ref="E12:K12" si="1">+E13+E14</f>
        <v>117767144</v>
      </c>
      <c r="F12" s="1535">
        <f t="shared" si="1"/>
        <v>73356066</v>
      </c>
      <c r="G12" s="1535">
        <f t="shared" si="1"/>
        <v>39747415</v>
      </c>
      <c r="H12" s="1535">
        <f t="shared" si="1"/>
        <v>37602290</v>
      </c>
      <c r="I12" s="1535">
        <f t="shared" si="1"/>
        <v>35477024</v>
      </c>
      <c r="J12" s="1536">
        <f>+J13+J14</f>
        <v>1405036470</v>
      </c>
      <c r="K12" s="1537">
        <f t="shared" si="1"/>
        <v>1155929645</v>
      </c>
      <c r="L12" s="1538"/>
      <c r="M12" s="587">
        <f t="shared" ref="M12:M31" si="2">+C12+D12+E12+F12+G12+H12+I12+B12</f>
        <v>1405036470</v>
      </c>
      <c r="N12" s="1539">
        <f>J12-M12</f>
        <v>0</v>
      </c>
    </row>
    <row r="13" spans="1:14" s="1540" customFormat="1" ht="17.25" customHeight="1">
      <c r="A13" s="1541" t="s">
        <v>8</v>
      </c>
      <c r="B13" s="1542">
        <f>+'Tab. 6B Polit społ i rozwój prz'!E8+'Tab. 6D - Oświata'!E11+'Tab. 6A -Drogi'!E9+'Tab. 6E - Administracja'!E10+'Tab. 6G - Roln i ochrona środ.'!E9+'Tab. 6H - Kultura fiz. i turyst'!E8+'Tab.6I - Planow. przestrz.'!E9</f>
        <v>44875301</v>
      </c>
      <c r="C13" s="1542">
        <f>+'Tab. 6B Polit społ i rozwój prz'!F8+'Tab. 6D - Oświata'!F11+'Tab. 6A -Drogi'!F9+'Tab. 6E - Administracja'!F10+'Tab. 6G - Roln i ochrona środ.'!F9+'Tab. 6H - Kultura fiz. i turyst'!F8+'Tab.6I - Planow. przestrz.'!F9</f>
        <v>60730241</v>
      </c>
      <c r="D13" s="1542">
        <f>+'Tab. 6B Polit społ i rozwój prz'!G8+'Tab. 6D - Oświata'!G11+'Tab. 6A -Drogi'!G9+'Tab. 6E - Administracja'!G10+'Tab. 6G - Roln i ochrona środ.'!G9+'Tab. 6H - Kultura fiz. i turyst'!G8+'Tab.6I - Planow. przestrz.'!G9</f>
        <v>58429025</v>
      </c>
      <c r="E13" s="1542">
        <f>+'Tab. 6B Polit społ i rozwój prz'!H8+'Tab. 6D - Oświata'!H11+'Tab. 6A -Drogi'!H9+'Tab. 6E - Administracja'!H10+'Tab. 6G - Roln i ochrona środ.'!H9+'Tab. 6H - Kultura fiz. i turyst'!H8+'Tab.6I - Planow. przestrz.'!H9</f>
        <v>49435155</v>
      </c>
      <c r="F13" s="1542">
        <f>+'Tab. 6B Polit społ i rozwój prz'!I8+'Tab. 6D - Oświata'!I11+'Tab. 6A -Drogi'!I9+'Tab. 6E - Administracja'!I10+'Tab. 6G - Roln i ochrona środ.'!I9+'Tab. 6H - Kultura fiz. i turyst'!I8+'Tab.6I - Planow. przestrz.'!I9</f>
        <v>43680911</v>
      </c>
      <c r="G13" s="1542">
        <f>+'Tab. 6B Polit społ i rozwój prz'!J8+'Tab. 6D - Oświata'!J11+'Tab. 6A -Drogi'!J9+'Tab. 6E - Administracja'!J10+'Tab. 6G - Roln i ochrona środ.'!J9+'Tab. 6H - Kultura fiz. i turyst'!J8+'Tab.6I - Planow. przestrz.'!J9</f>
        <v>39585915</v>
      </c>
      <c r="H13" s="1542">
        <f>+'Tab. 6B Polit społ i rozwój prz'!K8+'Tab. 6D - Oświata'!K11+'Tab. 6A -Drogi'!K9+'Tab. 6E - Administracja'!K10+'Tab. 6G - Roln i ochrona środ.'!K9+'Tab. 6H - Kultura fiz. i turyst'!K8+'Tab.6I - Planow. przestrz.'!K9</f>
        <v>37440790</v>
      </c>
      <c r="I13" s="1542">
        <f>+'Tab. 6B Polit społ i rozwój prz'!L8+'Tab. 6D - Oświata'!L11+'Tab. 6A -Drogi'!L9+'Tab. 6E - Administracja'!L10+'Tab. 6G - Roln i ochrona środ.'!L9+'Tab. 6H - Kultura fiz. i turyst'!L8+'Tab.6I - Planow. przestrz.'!L9</f>
        <v>35315524</v>
      </c>
      <c r="J13" s="1543">
        <f>'Tab. 6A -Drogi'!D9+'Tab. 6B Polit społ i rozwój prz'!D8+'Tab. 6D - Oświata'!D11+'Tab. 6E - Administracja'!D10+'Tab. 6G - Roln i ochrona środ.'!D9+'Tab. 6H - Kultura fiz. i turyst'!D8+'Tab.6I - Planow. przestrz.'!D9</f>
        <v>369492862</v>
      </c>
      <c r="K13" s="1845">
        <f>SUM(C13:I13)</f>
        <v>324617561</v>
      </c>
      <c r="L13" s="563">
        <f>K13-C13-D13-E13-F13-G13-H13-I13</f>
        <v>0</v>
      </c>
      <c r="M13" s="587">
        <f t="shared" si="2"/>
        <v>369492862</v>
      </c>
      <c r="N13" s="588">
        <f>J13-M13</f>
        <v>0</v>
      </c>
    </row>
    <row r="14" spans="1:14" s="1540" customFormat="1" ht="17.25" customHeight="1" thickBot="1">
      <c r="A14" s="1545" t="s">
        <v>9</v>
      </c>
      <c r="B14" s="1546">
        <f>+'Tab. 6D - Oświata'!E12+'Tab. 6A -Drogi'!E10+'Tab. 6E - Administracja'!E11+'Tab. 6G - Roln i ochrona środ.'!E10+'Tab. 6H - Kultura fiz. i turyst'!E9+'Tab. 6B Polit społ i rozwój prz'!E9+'Tab.6I - Planow. przestrz.'!E10</f>
        <v>204231524</v>
      </c>
      <c r="C14" s="1546">
        <f>+'Tab. 6D - Oświata'!F12+'Tab. 6A -Drogi'!F10+'Tab. 6E - Administracja'!F11+'Tab. 6G - Roln i ochrona środ.'!F10+'Tab. 6H - Kultura fiz. i turyst'!F9+'Tab. 6B Polit społ i rozwój prz'!F9+'Tab.6I - Planow. przestrz.'!F10</f>
        <v>268579498</v>
      </c>
      <c r="D14" s="1546">
        <f>+'Tab. 6D - Oświata'!G12+'Tab. 6A -Drogi'!G10+'Tab. 6E - Administracja'!G11+'Tab. 6G - Roln i ochrona środ.'!G10+'Tab. 6H - Kultura fiz. i turyst'!G9+'Tab. 6B Polit społ i rozwój prz'!G9+'Tab.6I - Planow. przestrz.'!G10</f>
        <v>464240942</v>
      </c>
      <c r="E14" s="1546">
        <f>+'Tab. 6D - Oświata'!H12+'Tab. 6A -Drogi'!H10+'Tab. 6E - Administracja'!H11+'Tab. 6G - Roln i ochrona środ.'!H10+'Tab. 6H - Kultura fiz. i turyst'!H9+'Tab. 6B Polit społ i rozwój prz'!H9+'Tab.6I - Planow. przestrz.'!H10</f>
        <v>68331989</v>
      </c>
      <c r="F14" s="1546">
        <f>+'Tab. 6D - Oświata'!I12+'Tab. 6A -Drogi'!I10+'Tab. 6E - Administracja'!I11+'Tab. 6G - Roln i ochrona środ.'!I10+'Tab. 6H - Kultura fiz. i turyst'!I9+'Tab. 6B Polit społ i rozwój prz'!I9+'Tab.6I - Planow. przestrz.'!I10</f>
        <v>29675155</v>
      </c>
      <c r="G14" s="1546">
        <f>+'Tab. 6D - Oświata'!J12+'Tab. 6A -Drogi'!J10+'Tab. 6E - Administracja'!J11+'Tab. 6G - Roln i ochrona środ.'!J10+'Tab. 6H - Kultura fiz. i turyst'!J9+'Tab. 6B Polit społ i rozwój prz'!J9+'Tab.6I - Planow. przestrz.'!J10</f>
        <v>161500</v>
      </c>
      <c r="H14" s="1546">
        <f>+'Tab. 6D - Oświata'!K12+'Tab. 6A -Drogi'!K10+'Tab. 6E - Administracja'!K11+'Tab. 6G - Roln i ochrona środ.'!K10+'Tab. 6H - Kultura fiz. i turyst'!K9+'Tab. 6B Polit społ i rozwój prz'!K9+'Tab.6I - Planow. przestrz.'!K10</f>
        <v>161500</v>
      </c>
      <c r="I14" s="1546">
        <f>+'Tab. 6D - Oświata'!L12+'Tab. 6A -Drogi'!L10+'Tab. 6E - Administracja'!L11+'Tab. 6G - Roln i ochrona środ.'!L10+'Tab. 6H - Kultura fiz. i turyst'!L9+'Tab. 6B Polit społ i rozwój prz'!L9+'Tab.6I - Planow. przestrz.'!L10</f>
        <v>161500</v>
      </c>
      <c r="J14" s="1547">
        <f>'Tab. 6A -Drogi'!D10+'Tab. 6B Polit społ i rozwój prz'!D9+'Tab. 6D - Oświata'!D12+'Tab. 6E - Administracja'!D11+'Tab. 6G - Roln i ochrona środ.'!D10+'Tab. 6H - Kultura fiz. i turyst'!D9+'Tab.6I - Planow. przestrz.'!D10</f>
        <v>1035543608</v>
      </c>
      <c r="K14" s="1846">
        <f>SUM(C14:I14)</f>
        <v>831312084</v>
      </c>
      <c r="L14" s="563">
        <f>K14-C14-D14-E14-F14-G14-H14-I14</f>
        <v>0</v>
      </c>
      <c r="M14" s="587">
        <f t="shared" si="2"/>
        <v>1035543608</v>
      </c>
      <c r="N14" s="588">
        <f>J14-M14</f>
        <v>0</v>
      </c>
    </row>
    <row r="15" spans="1:14" s="589" customFormat="1">
      <c r="A15" s="1548"/>
      <c r="B15" s="1549"/>
      <c r="C15" s="1549"/>
      <c r="D15" s="1549"/>
      <c r="E15" s="1549"/>
      <c r="F15" s="1549"/>
      <c r="G15" s="1549"/>
      <c r="H15" s="1549">
        <v>0</v>
      </c>
      <c r="I15" s="1549"/>
      <c r="J15" s="1549"/>
      <c r="K15" s="1549"/>
      <c r="L15" s="586"/>
      <c r="M15" s="587">
        <f t="shared" si="2"/>
        <v>0</v>
      </c>
      <c r="N15" s="588">
        <f t="shared" ref="N15:N31" si="3">J15-M15</f>
        <v>0</v>
      </c>
    </row>
    <row r="16" spans="1:14" s="1554" customFormat="1" ht="18" customHeight="1">
      <c r="A16" s="1550" t="s">
        <v>10</v>
      </c>
      <c r="B16" s="1551">
        <f t="shared" ref="B16:K16" si="4">+B17+B26</f>
        <v>249497941.30000001</v>
      </c>
      <c r="C16" s="1551">
        <f t="shared" si="4"/>
        <v>329956143</v>
      </c>
      <c r="D16" s="1551">
        <f t="shared" si="4"/>
        <v>522914375</v>
      </c>
      <c r="E16" s="1551">
        <f t="shared" si="4"/>
        <v>117835572</v>
      </c>
      <c r="F16" s="1551">
        <f t="shared" si="4"/>
        <v>73420085</v>
      </c>
      <c r="G16" s="1551">
        <f t="shared" si="4"/>
        <v>39811434</v>
      </c>
      <c r="H16" s="1551">
        <f t="shared" si="4"/>
        <v>37666308</v>
      </c>
      <c r="I16" s="1551">
        <f t="shared" si="4"/>
        <v>35541042</v>
      </c>
      <c r="J16" s="1552">
        <f>+J17+J26</f>
        <v>1406642900.3</v>
      </c>
      <c r="K16" s="1553">
        <f t="shared" si="4"/>
        <v>1155929645</v>
      </c>
      <c r="L16" s="563"/>
      <c r="M16" s="587">
        <f t="shared" si="2"/>
        <v>1406642900.3</v>
      </c>
      <c r="N16" s="588">
        <f>J16-M16</f>
        <v>0</v>
      </c>
    </row>
    <row r="17" spans="1:14" s="1559" customFormat="1" ht="17.25" customHeight="1">
      <c r="A17" s="1555" t="s">
        <v>11</v>
      </c>
      <c r="B17" s="1556">
        <f t="shared" ref="B17:I17" si="5">SUM(B18:B25)</f>
        <v>46075739.299999997</v>
      </c>
      <c r="C17" s="1556">
        <f t="shared" si="5"/>
        <v>64496427</v>
      </c>
      <c r="D17" s="1556">
        <f t="shared" si="5"/>
        <v>92181355</v>
      </c>
      <c r="E17" s="1556">
        <f>SUM(E18:E25)</f>
        <v>25186737</v>
      </c>
      <c r="F17" s="1556">
        <f t="shared" si="5"/>
        <v>18991562</v>
      </c>
      <c r="G17" s="1556">
        <f>SUM(G18:G25)</f>
        <v>7327805</v>
      </c>
      <c r="H17" s="1556">
        <f t="shared" si="5"/>
        <v>5373734</v>
      </c>
      <c r="I17" s="1556">
        <f t="shared" si="5"/>
        <v>4908264</v>
      </c>
      <c r="J17" s="1557">
        <f>SUM(J18:J25)</f>
        <v>264541623.30000001</v>
      </c>
      <c r="K17" s="1558">
        <f>SUM(K18:K25)</f>
        <v>217250570</v>
      </c>
      <c r="L17" s="563"/>
      <c r="M17" s="587">
        <f t="shared" si="2"/>
        <v>264541623.30000001</v>
      </c>
      <c r="N17" s="588">
        <f t="shared" si="3"/>
        <v>0</v>
      </c>
    </row>
    <row r="18" spans="1:14" s="589" customFormat="1" ht="14.25" customHeight="1">
      <c r="A18" s="1560" t="s">
        <v>12</v>
      </c>
      <c r="B18" s="1561">
        <f>+'Tab. 6B Polit społ i rozwój prz'!E12+'Tab. 6D - Oświata'!E15+'Tab. 6A -Drogi'!E13+'Tab. 6E - Administracja'!E14+'Tab. 6G - Roln i ochrona środ.'!E13+'Tab. 6H - Kultura fiz. i turyst'!E12+'Tab.6I - Planow. przestrz.'!E13+0.3</f>
        <v>19143617.300000001</v>
      </c>
      <c r="C18" s="1561">
        <f>+'Tab. 6B Polit społ i rozwój prz'!F12+'Tab. 6D - Oświata'!F15+'Tab. 6A -Drogi'!F13+'Tab. 6E - Administracja'!F14+'Tab. 6G - Roln i ochrona środ.'!F13+'Tab. 6H - Kultura fiz. i turyst'!F12+'Tab.6I - Planow. przestrz.'!F13</f>
        <v>52182534</v>
      </c>
      <c r="D18" s="1561">
        <f>+'Tab. 6B Polit społ i rozwój prz'!G12+'Tab. 6D - Oświata'!G15+'Tab. 6A -Drogi'!G13+'Tab. 6E - Administracja'!G14+'Tab. 6G - Roln i ochrona środ.'!G13+'Tab. 6H - Kultura fiz. i turyst'!G12+'Tab.6I - Planow. przestrz.'!G13</f>
        <v>81881559</v>
      </c>
      <c r="E18" s="1561">
        <f>+'Tab. 6B Polit społ i rozwój prz'!H12+'Tab. 6D - Oświata'!H15+'Tab. 6A -Drogi'!H13+'Tab. 6E - Administracja'!H14+'Tab. 6G - Roln i ochrona środ.'!H13+'Tab. 6H - Kultura fiz. i turyst'!H12+'Tab.6I - Planow. przestrz.'!H13</f>
        <v>23259073</v>
      </c>
      <c r="F18" s="1561">
        <f>+'Tab. 6B Polit społ i rozwój prz'!I12+'Tab. 6D - Oświata'!I15+'Tab. 6A -Drogi'!I13+'Tab. 6E - Administracja'!I14+'Tab. 6G - Roln i ochrona środ.'!I13+'Tab. 6H - Kultura fiz. i turyst'!I12+'Tab.6I - Planow. przestrz.'!I13</f>
        <v>17684181</v>
      </c>
      <c r="G18" s="1561">
        <f>+'Tab. 6B Polit społ i rozwój prz'!J12+'Tab. 6D - Oświata'!J15+'Tab. 6A -Drogi'!J13+'Tab. 6E - Administracja'!J14+'Tab. 6G - Roln i ochrona środ.'!J13+'Tab. 6H - Kultura fiz. i turyst'!J12+'Tab.6I - Planow. przestrz.'!J13</f>
        <v>6274372</v>
      </c>
      <c r="H18" s="1561">
        <f>+'Tab. 6B Polit społ i rozwój prz'!K12+'Tab. 6D - Oświata'!K15+'Tab. 6A -Drogi'!K13+'Tab. 6E - Administracja'!K14+'Tab. 6G - Roln i ochrona środ.'!K13+'Tab. 6H - Kultura fiz. i turyst'!K12+'Tab.6I - Planow. przestrz.'!K13</f>
        <v>4320302</v>
      </c>
      <c r="I18" s="1561">
        <f>+'Tab. 6B Polit społ i rozwój prz'!L12+'Tab. 6D - Oświata'!L15+'Tab. 6A -Drogi'!L13+'Tab. 6E - Administracja'!L14+'Tab. 6G - Roln i ochrona środ.'!L13+'Tab. 6H - Kultura fiz. i turyst'!L12+'Tab.6I - Planow. przestrz.'!L13</f>
        <v>4349539</v>
      </c>
      <c r="J18" s="1562">
        <f t="shared" ref="J18:J25" si="6">B18+C18+D18+E18+F18+G18+H18+I18</f>
        <v>209095177.30000001</v>
      </c>
      <c r="K18" s="1544">
        <f t="shared" ref="K18:K24" si="7">SUM(C18:I18)</f>
        <v>189951560</v>
      </c>
      <c r="L18" s="563"/>
      <c r="M18" s="587">
        <f t="shared" si="2"/>
        <v>209095177.30000001</v>
      </c>
      <c r="N18" s="588">
        <f t="shared" si="3"/>
        <v>0</v>
      </c>
    </row>
    <row r="19" spans="1:14" s="589" customFormat="1" ht="15.75" customHeight="1">
      <c r="A19" s="590" t="s">
        <v>13</v>
      </c>
      <c r="B19" s="1561">
        <f>+'Tab. 6B Polit społ i rozwój prz'!E13+'Tab. 6A -Drogi'!E14+'Tab. 6E - Administracja'!E15+'Tab. 6G - Roln i ochrona środ.'!E14+'Tab.6I - Planow. przestrz.'!E14</f>
        <v>2610600</v>
      </c>
      <c r="C19" s="1561">
        <f>+'Tab. 6B Polit społ i rozwój prz'!F13+'Tab. 6A -Drogi'!F14+'Tab. 6E - Administracja'!F15+'Tab. 6G - Roln i ochrona środ.'!F14+'Tab.6I - Planow. przestrz.'!F14</f>
        <v>2412395</v>
      </c>
      <c r="D19" s="1561">
        <f>+'Tab. 6B Polit społ i rozwój prz'!G13+'Tab. 6A -Drogi'!G14+'Tab. 6E - Administracja'!G15+'Tab. 6G - Roln i ochrona środ.'!G14+'Tab.6I - Planow. przestrz.'!G14</f>
        <v>1674979</v>
      </c>
      <c r="E19" s="1561">
        <f>+'Tab. 6B Polit społ i rozwój prz'!H13+'Tab. 6A -Drogi'!H14+'Tab. 6E - Administracja'!H15+'Tab. 6G - Roln i ochrona środ.'!H14+'Tab.6I - Planow. przestrz.'!H14</f>
        <v>1178198</v>
      </c>
      <c r="F19" s="1561">
        <f>+'Tab. 6B Polit społ i rozwój prz'!I13+'Tab. 6A -Drogi'!I14+'Tab. 6E - Administracja'!I15+'Tab. 6G - Roln i ochrona środ.'!I14+'Tab.6I - Planow. przestrz.'!I14</f>
        <v>1243362</v>
      </c>
      <c r="G19" s="1561">
        <f>+'Tab. 6B Polit społ i rozwój prz'!J13+'Tab. 6A -Drogi'!J14+'Tab. 6E - Administracja'!J15+'Tab. 6G - Roln i ochrona środ.'!J14+'Tab.6I - Planow. przestrz.'!J14</f>
        <v>989414</v>
      </c>
      <c r="H19" s="1561">
        <f>+'Tab. 6B Polit społ i rozwój prz'!K13+'Tab. 6A -Drogi'!K14+'Tab. 6E - Administracja'!K15+'Tab. 6G - Roln i ochrona środ.'!K14+'Tab.6I - Planow. przestrz.'!K14</f>
        <v>989414</v>
      </c>
      <c r="I19" s="1561">
        <f>+'Tab. 6B Polit społ i rozwój prz'!L13+'Tab. 6A -Drogi'!L14+'Tab. 6E - Administracja'!L15+'Tab. 6G - Roln i ochrona środ.'!L14+'Tab.6I - Planow. przestrz.'!L14</f>
        <v>494707</v>
      </c>
      <c r="J19" s="1562">
        <f t="shared" si="6"/>
        <v>11593069</v>
      </c>
      <c r="K19" s="1544">
        <f t="shared" si="7"/>
        <v>8982469</v>
      </c>
      <c r="L19" s="563"/>
      <c r="M19" s="587">
        <f t="shared" si="2"/>
        <v>11593069</v>
      </c>
      <c r="N19" s="588">
        <f t="shared" si="3"/>
        <v>0</v>
      </c>
    </row>
    <row r="20" spans="1:14" s="589" customFormat="1" ht="13.5" hidden="1" customHeight="1">
      <c r="A20" s="590" t="s">
        <v>14</v>
      </c>
      <c r="B20" s="1561">
        <f>+'Tab. 6G - Roln i ochrona środ.'!E15</f>
        <v>0</v>
      </c>
      <c r="C20" s="1563">
        <f>+'Tab. 6G - Roln i ochrona środ.'!F15</f>
        <v>0</v>
      </c>
      <c r="D20" s="1563">
        <f>+'Tab. 6G - Roln i ochrona środ.'!G15</f>
        <v>0</v>
      </c>
      <c r="E20" s="1563">
        <f>+'Tab. 6G - Roln i ochrona środ.'!H15</f>
        <v>0</v>
      </c>
      <c r="F20" s="1563">
        <f>+'Tab. 6G - Roln i ochrona środ.'!I15</f>
        <v>0</v>
      </c>
      <c r="G20" s="1563">
        <f>+'Tab. 6G - Roln i ochrona środ.'!J15</f>
        <v>0</v>
      </c>
      <c r="H20" s="1563">
        <f>+'Tab. 6G - Roln i ochrona środ.'!K15</f>
        <v>0</v>
      </c>
      <c r="I20" s="1563">
        <f>+'Tab. 6G - Roln i ochrona środ.'!L15</f>
        <v>0</v>
      </c>
      <c r="J20" s="1562">
        <f t="shared" si="6"/>
        <v>0</v>
      </c>
      <c r="K20" s="1544">
        <f t="shared" si="7"/>
        <v>0</v>
      </c>
      <c r="L20" s="563"/>
      <c r="M20" s="587">
        <f t="shared" si="2"/>
        <v>0</v>
      </c>
      <c r="N20" s="588">
        <f t="shared" si="3"/>
        <v>0</v>
      </c>
    </row>
    <row r="21" spans="1:14" s="589" customFormat="1" ht="15.75" customHeight="1">
      <c r="A21" s="590" t="s">
        <v>15</v>
      </c>
      <c r="B21" s="282">
        <f>+'Tab. 6A -Drogi'!E15</f>
        <v>10354695</v>
      </c>
      <c r="C21" s="1561">
        <f>+'Tab. 6A -Drogi'!F15</f>
        <v>4128179</v>
      </c>
      <c r="D21" s="1561">
        <f>+'Tab. 6A -Drogi'!G15</f>
        <v>6041821</v>
      </c>
      <c r="E21" s="1564">
        <f>+'Tab. 6A -Drogi'!H15</f>
        <v>0</v>
      </c>
      <c r="F21" s="1564">
        <f>+'Tab. 6A -Drogi'!I15</f>
        <v>0</v>
      </c>
      <c r="G21" s="1564">
        <f>+'Tab. 6A -Drogi'!J15</f>
        <v>0</v>
      </c>
      <c r="H21" s="1564">
        <f>+'Tab. 6A -Drogi'!K15</f>
        <v>0</v>
      </c>
      <c r="I21" s="1564">
        <f>+'Tab. 6A -Drogi'!L15</f>
        <v>0</v>
      </c>
      <c r="J21" s="1562">
        <f t="shared" si="6"/>
        <v>20524695</v>
      </c>
      <c r="K21" s="1544">
        <f t="shared" si="7"/>
        <v>10170000</v>
      </c>
      <c r="L21" s="563"/>
      <c r="M21" s="587">
        <f t="shared" si="2"/>
        <v>20524695</v>
      </c>
      <c r="N21" s="588">
        <f t="shared" si="3"/>
        <v>0</v>
      </c>
    </row>
    <row r="22" spans="1:14" s="589" customFormat="1" ht="15.75" customHeight="1">
      <c r="A22" s="590" t="s">
        <v>16</v>
      </c>
      <c r="B22" s="1565">
        <f>+'Tab. 6A -Drogi'!E16+'Tab. 6G - Roln i ochrona środ.'!E16+'Tab. 6E - Administracja'!E16+'Tab. 6H - Kultura fiz. i turyst'!E13</f>
        <v>2196030</v>
      </c>
      <c r="C22" s="1565">
        <f>+'Tab. 6A -Drogi'!F16+'Tab. 6G - Roln i ochrona środ.'!F16+'Tab. 6E - Administracja'!F16+'Tab. 6H - Kultura fiz. i turyst'!F13</f>
        <v>5126915</v>
      </c>
      <c r="D22" s="1565">
        <f>+'Tab. 6A -Drogi'!G16+'Tab. 6G - Roln i ochrona środ.'!G16+'Tab. 6E - Administracja'!G16+'Tab. 6H - Kultura fiz. i turyst'!G13</f>
        <v>2338588</v>
      </c>
      <c r="E22" s="1565">
        <f>+'Tab. 6A -Drogi'!H16+'Tab. 6G - Roln i ochrona środ.'!H16+'Tab. 6E - Administracja'!H16+'Tab. 6H - Kultura fiz. i turyst'!H13</f>
        <v>681038</v>
      </c>
      <c r="F22" s="1565">
        <f>+'Tab. 6A -Drogi'!I16+'Tab. 6G - Roln i ochrona środ.'!I16+'Tab. 6E - Administracja'!I16+'Tab. 6H - Kultura fiz. i turyst'!I13</f>
        <v>0</v>
      </c>
      <c r="G22" s="1565">
        <f>+'Tab. 6A -Drogi'!J16+'Tab. 6G - Roln i ochrona środ.'!J16+'Tab. 6E - Administracja'!J16+'Tab. 6H - Kultura fiz. i turyst'!J13</f>
        <v>0</v>
      </c>
      <c r="H22" s="1565">
        <f>+'Tab. 6A -Drogi'!K16+'Tab. 6G - Roln i ochrona środ.'!K16+'Tab. 6E - Administracja'!K16+'Tab. 6H - Kultura fiz. i turyst'!K13</f>
        <v>0</v>
      </c>
      <c r="I22" s="1565">
        <f>+'Tab. 6A -Drogi'!L16+'Tab. 6G - Roln i ochrona środ.'!L16+'Tab. 6E - Administracja'!L16+'Tab. 6H - Kultura fiz. i turyst'!L13</f>
        <v>0</v>
      </c>
      <c r="J22" s="1562">
        <f t="shared" si="6"/>
        <v>10342571</v>
      </c>
      <c r="K22" s="1544">
        <f t="shared" si="7"/>
        <v>8146541</v>
      </c>
      <c r="L22" s="563"/>
      <c r="M22" s="587">
        <f t="shared" si="2"/>
        <v>10342571</v>
      </c>
      <c r="N22" s="588">
        <f t="shared" si="3"/>
        <v>0</v>
      </c>
    </row>
    <row r="23" spans="1:14" s="589" customFormat="1" ht="15.75" hidden="1" customHeight="1">
      <c r="A23" s="590" t="s">
        <v>25</v>
      </c>
      <c r="B23" s="1568"/>
      <c r="C23" s="1569">
        <v>0</v>
      </c>
      <c r="D23" s="1569">
        <v>0</v>
      </c>
      <c r="E23" s="1569">
        <v>0</v>
      </c>
      <c r="F23" s="1569">
        <v>0</v>
      </c>
      <c r="G23" s="1569">
        <f>+'Tab.6I - Planow. przestrz.'!J14</f>
        <v>0</v>
      </c>
      <c r="H23" s="1569"/>
      <c r="I23" s="1569"/>
      <c r="J23" s="1562">
        <f t="shared" si="6"/>
        <v>0</v>
      </c>
      <c r="K23" s="1544">
        <f t="shared" si="7"/>
        <v>0</v>
      </c>
      <c r="L23" s="563"/>
      <c r="M23" s="587">
        <f t="shared" si="2"/>
        <v>0</v>
      </c>
      <c r="N23" s="588"/>
    </row>
    <row r="24" spans="1:14" s="589" customFormat="1" ht="15.75" customHeight="1">
      <c r="A24" s="590" t="s">
        <v>17</v>
      </c>
      <c r="B24" s="1565">
        <f>+'Tab. 6A -Drogi'!E17</f>
        <v>11379681</v>
      </c>
      <c r="C24" s="1564">
        <f>+'Tab. 6A -Drogi'!F17</f>
        <v>0</v>
      </c>
      <c r="D24" s="1564">
        <f>+'Tab. 6A -Drogi'!G17</f>
        <v>0</v>
      </c>
      <c r="E24" s="1564">
        <f>+'Tab. 6A -Drogi'!H17</f>
        <v>0</v>
      </c>
      <c r="F24" s="1564">
        <f>+'Tab. 6A -Drogi'!I17</f>
        <v>0</v>
      </c>
      <c r="G24" s="1564">
        <f>+'Tab. 6A -Drogi'!J17</f>
        <v>0</v>
      </c>
      <c r="H24" s="1564">
        <f>+'Tab. 6A -Drogi'!K17</f>
        <v>0</v>
      </c>
      <c r="I24" s="1564">
        <f>+'Tab. 6A -Drogi'!L17</f>
        <v>0</v>
      </c>
      <c r="J24" s="1562">
        <f t="shared" si="6"/>
        <v>11379681</v>
      </c>
      <c r="K24" s="1544">
        <f t="shared" si="7"/>
        <v>0</v>
      </c>
      <c r="L24" s="563"/>
      <c r="M24" s="587">
        <f t="shared" si="2"/>
        <v>11379681</v>
      </c>
      <c r="N24" s="588">
        <f t="shared" si="3"/>
        <v>0</v>
      </c>
    </row>
    <row r="25" spans="1:14" s="589" customFormat="1" ht="15.75" customHeight="1">
      <c r="A25" s="590" t="s">
        <v>32</v>
      </c>
      <c r="B25" s="1567">
        <f>'Tab. 6E - Administracja'!E17</f>
        <v>391116</v>
      </c>
      <c r="C25" s="1567">
        <f>'Tab. 6E - Administracja'!F17</f>
        <v>646404</v>
      </c>
      <c r="D25" s="1567">
        <f>'Tab. 6E - Administracja'!G17</f>
        <v>244408</v>
      </c>
      <c r="E25" s="1567">
        <f>'Tab. 6E - Administracja'!H17</f>
        <v>68428</v>
      </c>
      <c r="F25" s="1567">
        <f>'Tab. 6E - Administracja'!I17</f>
        <v>64019</v>
      </c>
      <c r="G25" s="1567">
        <f>'Tab. 6E - Administracja'!J17</f>
        <v>64019</v>
      </c>
      <c r="H25" s="1567">
        <f>'Tab. 6E - Administracja'!K17</f>
        <v>64018</v>
      </c>
      <c r="I25" s="1567">
        <f>'Tab. 6E - Administracja'!L17</f>
        <v>64018</v>
      </c>
      <c r="J25" s="1562">
        <f t="shared" si="6"/>
        <v>1606430</v>
      </c>
      <c r="K25" s="1570">
        <v>0</v>
      </c>
      <c r="L25" s="563"/>
      <c r="M25" s="587">
        <f t="shared" si="2"/>
        <v>1606430</v>
      </c>
      <c r="N25" s="588">
        <f t="shared" si="3"/>
        <v>0</v>
      </c>
    </row>
    <row r="26" spans="1:14" s="589" customFormat="1" ht="17.25" customHeight="1">
      <c r="A26" s="581" t="s">
        <v>18</v>
      </c>
      <c r="B26" s="582">
        <f t="shared" ref="B26:C26" si="8">SUM(B27:B31)</f>
        <v>203422202</v>
      </c>
      <c r="C26" s="582">
        <f t="shared" si="8"/>
        <v>265459716</v>
      </c>
      <c r="D26" s="582">
        <f t="shared" ref="D26:J26" si="9">SUM(D27:D31)</f>
        <v>430733020</v>
      </c>
      <c r="E26" s="582">
        <f t="shared" si="9"/>
        <v>92648835</v>
      </c>
      <c r="F26" s="582">
        <f t="shared" si="9"/>
        <v>54428523</v>
      </c>
      <c r="G26" s="582">
        <f t="shared" si="9"/>
        <v>32483629</v>
      </c>
      <c r="H26" s="582">
        <f t="shared" si="9"/>
        <v>32292574</v>
      </c>
      <c r="I26" s="582">
        <f t="shared" si="9"/>
        <v>30632778</v>
      </c>
      <c r="J26" s="584">
        <f t="shared" si="9"/>
        <v>1142101277</v>
      </c>
      <c r="K26" s="1571">
        <f>SUM(K29:K31)</f>
        <v>938679075</v>
      </c>
      <c r="L26" s="563"/>
      <c r="M26" s="587">
        <f t="shared" si="2"/>
        <v>1142101277</v>
      </c>
      <c r="N26" s="588">
        <f t="shared" si="3"/>
        <v>0</v>
      </c>
    </row>
    <row r="27" spans="1:14" s="589" customFormat="1" ht="15.75" hidden="1" customHeight="1">
      <c r="A27" s="1560" t="s">
        <v>12</v>
      </c>
      <c r="B27" s="1561">
        <f>+'Tab. 6G - Roln i ochrona środ.'!E18</f>
        <v>0</v>
      </c>
      <c r="C27" s="1561">
        <f>+'Tab. 6G - Roln i ochrona środ.'!F18</f>
        <v>0</v>
      </c>
      <c r="D27" s="1561">
        <f>+'Tab. 6G - Roln i ochrona środ.'!G18</f>
        <v>0</v>
      </c>
      <c r="E27" s="1561">
        <f>+'Tab. 6G - Roln i ochrona środ.'!H18</f>
        <v>0</v>
      </c>
      <c r="F27" s="1561">
        <f>+'Tab. 6G - Roln i ochrona środ.'!I18</f>
        <v>0</v>
      </c>
      <c r="G27" s="1561">
        <f>+'Tab. 6G - Roln i ochrona środ.'!J18</f>
        <v>0</v>
      </c>
      <c r="H27" s="1561">
        <f>+'Tab. 6G - Roln i ochrona środ.'!K18</f>
        <v>0</v>
      </c>
      <c r="I27" s="1561">
        <f>+'Tab. 6G - Roln i ochrona środ.'!L18</f>
        <v>0</v>
      </c>
      <c r="J27" s="1562">
        <f>B27+C27+D27+E27+F27+G27+H27+I27</f>
        <v>0</v>
      </c>
      <c r="K27" s="1544">
        <f>SUM(C27:I27)</f>
        <v>0</v>
      </c>
      <c r="L27" s="563"/>
      <c r="M27" s="587">
        <f t="shared" si="2"/>
        <v>0</v>
      </c>
      <c r="N27" s="588">
        <f t="shared" si="3"/>
        <v>0</v>
      </c>
    </row>
    <row r="28" spans="1:14" s="589" customFormat="1" ht="13.5" hidden="1" customHeight="1">
      <c r="A28" s="1560" t="s">
        <v>19</v>
      </c>
      <c r="B28" s="1561">
        <f>+'Tab. 6A -Drogi'!E21</f>
        <v>0</v>
      </c>
      <c r="C28" s="1561">
        <f>+'Tab. 6A -Drogi'!F21</f>
        <v>0</v>
      </c>
      <c r="D28" s="1561">
        <f>+'Tab. 6A -Drogi'!G21</f>
        <v>0</v>
      </c>
      <c r="E28" s="1561">
        <f>+'Tab. 6A -Drogi'!H21</f>
        <v>0</v>
      </c>
      <c r="F28" s="1561">
        <f>+'Tab. 6A -Drogi'!I21</f>
        <v>0</v>
      </c>
      <c r="G28" s="1561">
        <f>+'Tab. 6A -Drogi'!J21</f>
        <v>0</v>
      </c>
      <c r="H28" s="1561">
        <f>+'Tab. 6A -Drogi'!K21</f>
        <v>0</v>
      </c>
      <c r="I28" s="1561">
        <f>+'Tab. 6A -Drogi'!L21</f>
        <v>0</v>
      </c>
      <c r="J28" s="1562">
        <f>B28+C28+D28+E28+F28+G28+H28+I28</f>
        <v>0</v>
      </c>
      <c r="K28" s="1544">
        <f>SUM(C28:I28)</f>
        <v>0</v>
      </c>
      <c r="L28" s="563"/>
      <c r="M28" s="587">
        <f t="shared" si="2"/>
        <v>0</v>
      </c>
      <c r="N28" s="588">
        <f t="shared" si="3"/>
        <v>0</v>
      </c>
    </row>
    <row r="29" spans="1:14" s="589" customFormat="1" ht="14.25" customHeight="1">
      <c r="A29" s="590" t="s">
        <v>20</v>
      </c>
      <c r="B29" s="1561">
        <f>+'Tab. 6D - Oświata'!E17+'Tab. 6A -Drogi'!E19+'Tab. 6G - Roln i ochrona środ.'!E21+'Tab.6I - Planow. przestrz.'!E17+'Tab. 6B Polit społ i rozwój prz'!E15</f>
        <v>7865609</v>
      </c>
      <c r="C29" s="1561">
        <f>+'Tab. 6D - Oświata'!F17+'Tab. 6A -Drogi'!F19+'Tab. 6G - Roln i ochrona środ.'!F21+'Tab.6I - Planow. przestrz.'!F17+'Tab. 6B Polit społ i rozwój prz'!F15</f>
        <v>10137973</v>
      </c>
      <c r="D29" s="1561">
        <f>+'Tab. 6D - Oświata'!G17+'Tab. 6A -Drogi'!G19+'Tab. 6G - Roln i ochrona środ.'!G21+'Tab.6I - Planow. przestrz.'!G17+'Tab. 6B Polit społ i rozwój prz'!G15</f>
        <v>21510939</v>
      </c>
      <c r="E29" s="1561">
        <f>+'Tab. 6D - Oświata'!H17+'Tab. 6A -Drogi'!H19+'Tab. 6G - Roln i ochrona środ.'!H21+'Tab.6I - Planow. przestrz.'!H17+'Tab. 6B Polit społ i rozwój prz'!H15</f>
        <v>6735663</v>
      </c>
      <c r="F29" s="1561">
        <f>+'Tab. 6D - Oświata'!I17+'Tab. 6A -Drogi'!I19+'Tab. 6G - Roln i ochrona środ.'!I21+'Tab.6I - Planow. przestrz.'!I17+'Tab. 6B Polit społ i rozwój prz'!I15</f>
        <v>183492</v>
      </c>
      <c r="G29" s="1561">
        <f>+'Tab. 6D - Oświata'!J17+'Tab. 6A -Drogi'!J19+'Tab. 6G - Roln i ochrona środ.'!J21+'Tab.6I - Planow. przestrz.'!J17+'Tab. 6B Polit społ i rozwój prz'!J15</f>
        <v>0</v>
      </c>
      <c r="H29" s="1561">
        <f>+'Tab. 6D - Oświata'!K17+'Tab. 6A -Drogi'!K19+'Tab. 6G - Roln i ochrona środ.'!K21+'Tab.6I - Planow. przestrz.'!K17+'Tab. 6B Polit społ i rozwój prz'!K15</f>
        <v>0</v>
      </c>
      <c r="I29" s="1561">
        <f>+'Tab. 6D - Oświata'!L17+'Tab. 6A -Drogi'!L19+'Tab. 6G - Roln i ochrona środ.'!L21+'Tab.6I - Planow. przestrz.'!L17+'Tab. 6B Polit społ i rozwój prz'!L15</f>
        <v>0</v>
      </c>
      <c r="J29" s="1562">
        <f>B29+C29+D29+E29+F29+G29+H29+I29</f>
        <v>46433676</v>
      </c>
      <c r="K29" s="1544">
        <f>SUM(C29:I29)</f>
        <v>38568067</v>
      </c>
      <c r="L29" s="563"/>
      <c r="M29" s="587">
        <f t="shared" si="2"/>
        <v>46433676</v>
      </c>
      <c r="N29" s="588">
        <f t="shared" si="3"/>
        <v>0</v>
      </c>
    </row>
    <row r="30" spans="1:14" s="589" customFormat="1" ht="14.25" hidden="1" customHeight="1">
      <c r="A30" s="590" t="s">
        <v>14</v>
      </c>
      <c r="B30" s="282">
        <f>+'Tab. 6G - Roln i ochrona środ.'!E20</f>
        <v>0</v>
      </c>
      <c r="C30" s="282">
        <f>+'Tab. 6G - Roln i ochrona środ.'!F20</f>
        <v>0</v>
      </c>
      <c r="D30" s="282">
        <f>+'Tab. 6G - Roln i ochrona środ.'!G20</f>
        <v>0</v>
      </c>
      <c r="E30" s="282">
        <f>+'Tab. 6G - Roln i ochrona środ.'!H20</f>
        <v>0</v>
      </c>
      <c r="F30" s="282">
        <f>+'Tab. 6G - Roln i ochrona środ.'!I20</f>
        <v>0</v>
      </c>
      <c r="G30" s="282">
        <f>+'Tab. 6G - Roln i ochrona środ.'!J20</f>
        <v>0</v>
      </c>
      <c r="H30" s="282">
        <f>+'Tab. 6G - Roln i ochrona środ.'!K20</f>
        <v>0</v>
      </c>
      <c r="I30" s="282">
        <f>+'Tab. 6G - Roln i ochrona środ.'!L20</f>
        <v>0</v>
      </c>
      <c r="J30" s="1562">
        <f>B30+C30+D30+E30+F30+G30+H30+I30</f>
        <v>0</v>
      </c>
      <c r="K30" s="1544">
        <f>SUM(C30:I30)</f>
        <v>0</v>
      </c>
      <c r="L30" s="563"/>
      <c r="M30" s="587">
        <f t="shared" si="2"/>
        <v>0</v>
      </c>
      <c r="N30" s="588">
        <f t="shared" si="3"/>
        <v>0</v>
      </c>
    </row>
    <row r="31" spans="1:14" s="589" customFormat="1" ht="14.25" customHeight="1">
      <c r="A31" s="590" t="s">
        <v>21</v>
      </c>
      <c r="B31" s="282">
        <f>+'Tab. 6B Polit społ i rozwój prz'!E16+'Tab. 6A -Drogi'!E20+'Tab. 6E - Administracja'!E19+'Tab. 6G - Roln i ochrona środ.'!E19+'Tab. 6H - Kultura fiz. i turyst'!E15+'Tab.6I - Planow. przestrz.'!E16</f>
        <v>195556593</v>
      </c>
      <c r="C31" s="282">
        <f>+'Tab. 6B Polit społ i rozwój prz'!F16+'Tab. 6A -Drogi'!F20+'Tab. 6E - Administracja'!F19+'Tab. 6G - Roln i ochrona środ.'!F19+'Tab. 6H - Kultura fiz. i turyst'!F15+'Tab.6I - Planow. przestrz.'!F16</f>
        <v>255321743</v>
      </c>
      <c r="D31" s="282">
        <f>+'Tab. 6B Polit społ i rozwój prz'!G16+'Tab. 6A -Drogi'!G20+'Tab. 6E - Administracja'!G19+'Tab. 6G - Roln i ochrona środ.'!G19+'Tab. 6H - Kultura fiz. i turyst'!G15+'Tab.6I - Planow. przestrz.'!G16</f>
        <v>409222081</v>
      </c>
      <c r="E31" s="282">
        <f>+'Tab. 6B Polit społ i rozwój prz'!H16+'Tab. 6A -Drogi'!H20+'Tab. 6E - Administracja'!H19+'Tab. 6G - Roln i ochrona środ.'!H19+'Tab. 6H - Kultura fiz. i turyst'!H15+'Tab.6I - Planow. przestrz.'!H16</f>
        <v>85913172</v>
      </c>
      <c r="F31" s="282">
        <f>+'Tab. 6B Polit społ i rozwój prz'!I16+'Tab. 6A -Drogi'!I20+'Tab. 6E - Administracja'!I19+'Tab. 6G - Roln i ochrona środ.'!I19+'Tab. 6H - Kultura fiz. i turyst'!I15+'Tab.6I - Planow. przestrz.'!I16</f>
        <v>54245031</v>
      </c>
      <c r="G31" s="282">
        <f>+'Tab. 6B Polit społ i rozwój prz'!J16+'Tab. 6A -Drogi'!J20+'Tab. 6E - Administracja'!J19+'Tab. 6G - Roln i ochrona środ.'!J19+'Tab. 6H - Kultura fiz. i turyst'!J15+'Tab.6I - Planow. przestrz.'!J16</f>
        <v>32483629</v>
      </c>
      <c r="H31" s="282">
        <f>+'Tab. 6B Polit społ i rozwój prz'!K16+'Tab. 6A -Drogi'!K20+'Tab. 6E - Administracja'!K19+'Tab. 6G - Roln i ochrona środ.'!K19+'Tab. 6H - Kultura fiz. i turyst'!K15+'Tab.6I - Planow. przestrz.'!K16</f>
        <v>32292574</v>
      </c>
      <c r="I31" s="282">
        <f>+'Tab. 6B Polit społ i rozwój prz'!L16+'Tab. 6A -Drogi'!L20+'Tab. 6E - Administracja'!L19+'Tab. 6G - Roln i ochrona środ.'!L19+'Tab. 6H - Kultura fiz. i turyst'!L15+'Tab.6I - Planow. przestrz.'!L16</f>
        <v>30632778</v>
      </c>
      <c r="J31" s="1562">
        <f>B31+C31+D31+E31+F31+G31+H31+I31</f>
        <v>1095667601</v>
      </c>
      <c r="K31" s="1544">
        <f>SUM(C31:I31)</f>
        <v>900111008</v>
      </c>
      <c r="L31" s="563"/>
      <c r="M31" s="587">
        <f t="shared" si="2"/>
        <v>1095667601</v>
      </c>
      <c r="N31" s="1539">
        <f t="shared" si="3"/>
        <v>0</v>
      </c>
    </row>
    <row r="32" spans="1:14" s="1572" customFormat="1" ht="15.75" customHeight="1">
      <c r="A32" s="2771" t="s">
        <v>22</v>
      </c>
      <c r="B32" s="2772">
        <f>+B33+B41</f>
        <v>216664228</v>
      </c>
      <c r="C32" s="2772">
        <f t="shared" ref="C32:D32" si="10">+C33+C41</f>
        <v>260653426.69999999</v>
      </c>
      <c r="D32" s="2772">
        <f t="shared" si="10"/>
        <v>447391776</v>
      </c>
      <c r="E32" s="2772">
        <f t="shared" ref="E32:I32" si="11">+E33+E41</f>
        <v>111347940</v>
      </c>
      <c r="F32" s="2772">
        <f t="shared" si="11"/>
        <v>59406597</v>
      </c>
      <c r="G32" s="2772">
        <f t="shared" si="11"/>
        <v>33757647</v>
      </c>
      <c r="H32" s="2772">
        <f t="shared" si="11"/>
        <v>33201723</v>
      </c>
      <c r="I32" s="2772">
        <f t="shared" si="11"/>
        <v>31488520</v>
      </c>
      <c r="J32" s="2773">
        <f>+J33+J41</f>
        <v>1195941292.6999998</v>
      </c>
      <c r="K32" s="3068" t="s">
        <v>23</v>
      </c>
      <c r="L32" s="563"/>
    </row>
    <row r="33" spans="1:14" s="589" customFormat="1" ht="17.25" customHeight="1">
      <c r="A33" s="581" t="s">
        <v>24</v>
      </c>
      <c r="B33" s="2774">
        <f>SUM(B34:B40)</f>
        <v>26511167</v>
      </c>
      <c r="C33" s="2774">
        <f>SUM(C34:C40)</f>
        <v>10047180.6</v>
      </c>
      <c r="D33" s="2774">
        <f>SUM(D34:D40)</f>
        <v>8656270</v>
      </c>
      <c r="E33" s="2774">
        <f t="shared" ref="E33:I33" si="12">SUM(E34:E40)</f>
        <v>4882197</v>
      </c>
      <c r="F33" s="2774">
        <f t="shared" si="12"/>
        <v>1243362</v>
      </c>
      <c r="G33" s="2774">
        <f t="shared" si="12"/>
        <v>1015718</v>
      </c>
      <c r="H33" s="2774">
        <f t="shared" si="12"/>
        <v>989414</v>
      </c>
      <c r="I33" s="2774">
        <f t="shared" si="12"/>
        <v>494707</v>
      </c>
      <c r="J33" s="2775">
        <f>SUM(J34:J40)</f>
        <v>53840015.600000001</v>
      </c>
      <c r="K33" s="3069"/>
      <c r="L33" s="586" t="s">
        <v>269</v>
      </c>
    </row>
    <row r="34" spans="1:14" s="589" customFormat="1" ht="14.25" customHeight="1">
      <c r="A34" s="2200" t="s">
        <v>13</v>
      </c>
      <c r="B34" s="1328">
        <f>+'Tab. 6B Polit społ i rozwój prz'!E19+'Tab. 6A -Drogi'!E24+'Tab. 6E - Administracja'!E22+'Tab. 6G - Roln i ochrona środ.'!E24</f>
        <v>2580761</v>
      </c>
      <c r="C34" s="1328">
        <f>+'Tab. 6B Polit społ i rozwój prz'!F19+'Tab. 6A -Drogi'!F24+'Tab. 6E - Administracja'!F22+'Tab. 6G - Roln i ochrona środ.'!F24+'Tab.6I - Planow. przestrz.'!F20</f>
        <v>2376460.6</v>
      </c>
      <c r="D34" s="1328">
        <f>+'Tab. 6B Polit społ i rozwój prz'!G19+'Tab. 6A -Drogi'!G24+'Tab. 6E - Administracja'!G22+'Tab. 6G - Roln i ochrona środ.'!G24+'Tab.6I - Planow. przestrz.'!G20</f>
        <v>1714449</v>
      </c>
      <c r="E34" s="1328">
        <f>+'Tab. 6B Polit społ i rozwój prz'!H19+'Tab. 6A -Drogi'!H24+'Tab. 6E - Administracja'!H22+'Tab. 6G - Roln i ochrona środ.'!H24+'Tab.6I - Planow. przestrz.'!H20</f>
        <v>1178197</v>
      </c>
      <c r="F34" s="1328">
        <f>+'Tab. 6B Polit społ i rozwój prz'!I19+'Tab. 6A -Drogi'!I24+'Tab. 6E - Administracja'!I22+'Tab. 6G - Roln i ochrona środ.'!I24+'Tab.6I - Planow. przestrz.'!I20</f>
        <v>1243362</v>
      </c>
      <c r="G34" s="1328">
        <f>+'Tab. 6B Polit społ i rozwój prz'!J19+'Tab. 6A -Drogi'!J24+'Tab. 6E - Administracja'!J22+'Tab. 6G - Roln i ochrona środ.'!J24+'Tab.6I - Planow. przestrz.'!J20</f>
        <v>1015718</v>
      </c>
      <c r="H34" s="1328">
        <f>+'Tab. 6B Polit społ i rozwój prz'!K19+'Tab. 6A -Drogi'!K24+'Tab. 6E - Administracja'!K22+'Tab. 6G - Roln i ochrona środ.'!K24+'Tab.6I - Planow. przestrz.'!K20</f>
        <v>989414</v>
      </c>
      <c r="I34" s="1328">
        <f>+'Tab. 6B Polit społ i rozwój prz'!L19+'Tab. 6A -Drogi'!L24+'Tab. 6E - Administracja'!L22+'Tab. 6G - Roln i ochrona środ.'!L24+'Tab.6I - Planow. przestrz.'!L20</f>
        <v>494707</v>
      </c>
      <c r="J34" s="1562">
        <f t="shared" ref="J34:J40" si="13">B34+C34+D34+E34+F34+G34+H34+I34</f>
        <v>11593068.6</v>
      </c>
      <c r="K34" s="3069"/>
      <c r="L34" s="586"/>
    </row>
    <row r="35" spans="1:14" s="589" customFormat="1" hidden="1">
      <c r="A35" s="2200" t="s">
        <v>25</v>
      </c>
      <c r="B35" s="1328"/>
      <c r="C35" s="1328">
        <v>0</v>
      </c>
      <c r="D35" s="1328">
        <v>0</v>
      </c>
      <c r="E35" s="1328">
        <v>0</v>
      </c>
      <c r="F35" s="1328">
        <v>0</v>
      </c>
      <c r="G35" s="1328">
        <v>0</v>
      </c>
      <c r="H35" s="1574">
        <f>+'Tab. 6G - Roln i ochrona środ.'!K27</f>
        <v>0</v>
      </c>
      <c r="I35" s="1574">
        <f>+'Tab. 6G - Roln i ochrona środ.'!L27</f>
        <v>0</v>
      </c>
      <c r="J35" s="1562">
        <f t="shared" si="13"/>
        <v>0</v>
      </c>
      <c r="K35" s="3069"/>
      <c r="L35" s="586"/>
    </row>
    <row r="36" spans="1:14" s="589" customFormat="1" ht="14.25" hidden="1" customHeight="1">
      <c r="A36" s="2200" t="s">
        <v>14</v>
      </c>
      <c r="B36" s="1328">
        <f>+'Tab. 6G - Roln i ochrona środ.'!E25</f>
        <v>0</v>
      </c>
      <c r="C36" s="1328">
        <f>+'Tab. 6G - Roln i ochrona środ.'!F25</f>
        <v>0</v>
      </c>
      <c r="D36" s="1328">
        <f>+'Tab. 6G - Roln i ochrona środ.'!G25</f>
        <v>0</v>
      </c>
      <c r="E36" s="1328">
        <f>+'Tab. 6G - Roln i ochrona środ.'!H25</f>
        <v>0</v>
      </c>
      <c r="F36" s="1328">
        <f>+'Tab. 6G - Roln i ochrona środ.'!I25</f>
        <v>0</v>
      </c>
      <c r="G36" s="1328">
        <f>+'Tab. 6G - Roln i ochrona środ.'!J25</f>
        <v>0</v>
      </c>
      <c r="H36" s="1328">
        <f>+'Tab. 6G - Roln i ochrona środ.'!K25</f>
        <v>0</v>
      </c>
      <c r="I36" s="1328">
        <f>+'Tab. 6G - Roln i ochrona środ.'!L25</f>
        <v>0</v>
      </c>
      <c r="J36" s="1562">
        <f t="shared" si="13"/>
        <v>0</v>
      </c>
      <c r="K36" s="3069"/>
      <c r="L36" s="586">
        <f>J36-J20</f>
        <v>0</v>
      </c>
    </row>
    <row r="37" spans="1:14" s="589" customFormat="1" ht="14.25" customHeight="1">
      <c r="A37" s="2200" t="s">
        <v>15</v>
      </c>
      <c r="B37" s="1561">
        <f>+'Tab. 6A -Drogi'!E25</f>
        <v>10354695</v>
      </c>
      <c r="C37" s="1561">
        <f>+'Tab. 6A -Drogi'!F25</f>
        <v>4128179</v>
      </c>
      <c r="D37" s="1561">
        <f>+'Tab. 6A -Drogi'!G25</f>
        <v>6041821</v>
      </c>
      <c r="E37" s="1563">
        <f>+'Tab. 6A -Drogi'!H25</f>
        <v>0</v>
      </c>
      <c r="F37" s="1563">
        <f>+'Tab. 6A -Drogi'!I25</f>
        <v>0</v>
      </c>
      <c r="G37" s="1563">
        <f>+'Tab. 6A -Drogi'!J25</f>
        <v>0</v>
      </c>
      <c r="H37" s="1563">
        <f>+'Tab. 6A -Drogi'!K25</f>
        <v>0</v>
      </c>
      <c r="I37" s="1563">
        <f>+'Tab. 6A -Drogi'!L25</f>
        <v>0</v>
      </c>
      <c r="J37" s="1562">
        <f t="shared" si="13"/>
        <v>20524695</v>
      </c>
      <c r="K37" s="3069"/>
      <c r="L37" s="586">
        <f>J37-J21</f>
        <v>0</v>
      </c>
      <c r="M37" s="1575"/>
    </row>
    <row r="38" spans="1:14" s="589" customFormat="1">
      <c r="A38" s="2200" t="s">
        <v>16</v>
      </c>
      <c r="B38" s="2776">
        <f>+'Tab. 6A -Drogi'!E26+'Tab. 6G - Roln i ochrona środ.'!E26+'Tab. 6E - Administracja'!E23+'Tab. 6H - Kultura fiz. i turyst'!E19</f>
        <v>2196030</v>
      </c>
      <c r="C38" s="2776">
        <f>+'Tab. 6A -Drogi'!F26+'Tab. 6G - Roln i ochrona środ.'!F26+'Tab. 6E - Administracja'!F23+'Tab. 6H - Kultura fiz. i turyst'!F19</f>
        <v>3542541</v>
      </c>
      <c r="D38" s="2776">
        <f>+'Tab. 6A -Drogi'!G26+'Tab. 6G - Roln i ochrona środ.'!G26+'Tab. 6E - Administracja'!G23+'Tab. 6H - Kultura fiz. i turyst'!G19</f>
        <v>900000</v>
      </c>
      <c r="E38" s="2776">
        <f>+'Tab. 6A -Drogi'!H26+'Tab. 6G - Roln i ochrona środ.'!H26+'Tab. 6E - Administracja'!H23+'Tab. 6H - Kultura fiz. i turyst'!H19</f>
        <v>3704000</v>
      </c>
      <c r="F38" s="2776">
        <f>+'Tab. 6A -Drogi'!I26+'Tab. 6G - Roln i ochrona środ.'!I26+'Tab. 6E - Administracja'!I23+'Tab. 6H - Kultura fiz. i turyst'!I19</f>
        <v>0</v>
      </c>
      <c r="G38" s="2776">
        <f>+'Tab. 6A -Drogi'!J26+'Tab. 6G - Roln i ochrona środ.'!J26+'Tab. 6E - Administracja'!J23+'Tab. 6H - Kultura fiz. i turyst'!J19</f>
        <v>0</v>
      </c>
      <c r="H38" s="2776">
        <f>+'Tab. 6A -Drogi'!K26+'Tab. 6G - Roln i ochrona środ.'!K26+'Tab. 6E - Administracja'!K23+'Tab. 6H - Kultura fiz. i turyst'!K19</f>
        <v>0</v>
      </c>
      <c r="I38" s="2776">
        <f>+'Tab. 6A -Drogi'!L26+'Tab. 6G - Roln i ochrona środ.'!L26+'Tab. 6E - Administracja'!L23+'Tab. 6H - Kultura fiz. i turyst'!L19</f>
        <v>0</v>
      </c>
      <c r="J38" s="1562">
        <f t="shared" si="13"/>
        <v>10342571</v>
      </c>
      <c r="K38" s="3069"/>
      <c r="L38" s="586">
        <f>J38-J22</f>
        <v>0</v>
      </c>
    </row>
    <row r="39" spans="1:14" s="589" customFormat="1" ht="15" customHeight="1">
      <c r="A39" s="2200" t="s">
        <v>17</v>
      </c>
      <c r="B39" s="1561">
        <f>+'Tab. 6A -Drogi'!E27</f>
        <v>11379681</v>
      </c>
      <c r="C39" s="1563">
        <f>+'Tab. 6A -Drogi'!F27</f>
        <v>0</v>
      </c>
      <c r="D39" s="1563">
        <f>+'Tab. 6A -Drogi'!G27</f>
        <v>0</v>
      </c>
      <c r="E39" s="1563">
        <f>+'Tab. 6A -Drogi'!H27</f>
        <v>0</v>
      </c>
      <c r="F39" s="1563">
        <f>+'Tab. 6A -Drogi'!I27</f>
        <v>0</v>
      </c>
      <c r="G39" s="1563">
        <f>+'Tab. 6A -Drogi'!J27</f>
        <v>0</v>
      </c>
      <c r="H39" s="1563">
        <f>+'Tab. 6A -Drogi'!K27</f>
        <v>0</v>
      </c>
      <c r="I39" s="1563">
        <f>+'Tab. 6A -Drogi'!L27</f>
        <v>0</v>
      </c>
      <c r="J39" s="1562">
        <f t="shared" si="13"/>
        <v>11379681</v>
      </c>
      <c r="K39" s="3069"/>
      <c r="L39" s="586">
        <f>J39-J24</f>
        <v>0</v>
      </c>
    </row>
    <row r="40" spans="1:14" s="589" customFormat="1" ht="25.5" hidden="1" customHeight="1">
      <c r="A40" s="1560" t="s">
        <v>26</v>
      </c>
      <c r="B40" s="1567">
        <f>+'Tab. 6A -Drogi'!E28</f>
        <v>0</v>
      </c>
      <c r="C40" s="1566">
        <f>+'Tab. 6A -Drogi'!F28</f>
        <v>0</v>
      </c>
      <c r="D40" s="1566">
        <f>+'Tab. 6A -Drogi'!G28</f>
        <v>0</v>
      </c>
      <c r="E40" s="1566">
        <f>+'Tab. 6A -Drogi'!H28</f>
        <v>0</v>
      </c>
      <c r="F40" s="1566">
        <f>+'Tab. 6A -Drogi'!I28</f>
        <v>0</v>
      </c>
      <c r="G40" s="1566">
        <f>+'Tab. 6A -Drogi'!J28</f>
        <v>0</v>
      </c>
      <c r="H40" s="1566">
        <f>+'Tab. 6A -Drogi'!K28</f>
        <v>0</v>
      </c>
      <c r="I40" s="1566">
        <f>+'Tab. 6A -Drogi'!L28</f>
        <v>0</v>
      </c>
      <c r="J40" s="1562">
        <f t="shared" si="13"/>
        <v>0</v>
      </c>
      <c r="K40" s="3069"/>
      <c r="L40" s="586"/>
    </row>
    <row r="41" spans="1:14" s="589" customFormat="1" ht="16.5" customHeight="1">
      <c r="A41" s="581" t="s">
        <v>18</v>
      </c>
      <c r="B41" s="2777">
        <f t="shared" ref="B41:C41" si="14">SUM(B42:B46)</f>
        <v>190153061</v>
      </c>
      <c r="C41" s="2777">
        <f t="shared" si="14"/>
        <v>250606246.09999999</v>
      </c>
      <c r="D41" s="2777">
        <f t="shared" ref="D41:I41" si="15">SUM(D42:D46)</f>
        <v>438735506</v>
      </c>
      <c r="E41" s="2777">
        <f t="shared" si="15"/>
        <v>106465743</v>
      </c>
      <c r="F41" s="2777">
        <f t="shared" si="15"/>
        <v>58163235</v>
      </c>
      <c r="G41" s="2777">
        <f t="shared" si="15"/>
        <v>32741929</v>
      </c>
      <c r="H41" s="2777">
        <f t="shared" si="15"/>
        <v>32212309</v>
      </c>
      <c r="I41" s="2777">
        <f t="shared" si="15"/>
        <v>30993813</v>
      </c>
      <c r="J41" s="2775">
        <f>SUM(J42:J46)</f>
        <v>1142101277.0999999</v>
      </c>
      <c r="K41" s="3069"/>
      <c r="L41" s="586"/>
    </row>
    <row r="42" spans="1:14" s="589" customFormat="1" ht="15.75" hidden="1" customHeight="1">
      <c r="A42" s="2778" t="s">
        <v>17</v>
      </c>
      <c r="B42" s="1576"/>
      <c r="C42" s="1561"/>
      <c r="D42" s="1561"/>
      <c r="E42" s="1561"/>
      <c r="F42" s="1561"/>
      <c r="G42" s="1561"/>
      <c r="H42" s="1561"/>
      <c r="I42" s="1561"/>
      <c r="J42" s="1562">
        <f>B42+C42+D42+E42+F42+G42+H42+I42</f>
        <v>0</v>
      </c>
      <c r="K42" s="3069"/>
      <c r="L42" s="586"/>
    </row>
    <row r="43" spans="1:14" s="589" customFormat="1" ht="14.25" hidden="1" customHeight="1">
      <c r="A43" s="2200" t="s">
        <v>19</v>
      </c>
      <c r="B43" s="1561">
        <f>+'Tab. 6A -Drogi'!E33</f>
        <v>0</v>
      </c>
      <c r="C43" s="1561">
        <f>+'Tab. 6A -Drogi'!F33</f>
        <v>0</v>
      </c>
      <c r="D43" s="1561">
        <f>+'Tab. 6A -Drogi'!G33</f>
        <v>0</v>
      </c>
      <c r="E43" s="1561">
        <f>+'Tab. 6A -Drogi'!H33</f>
        <v>0</v>
      </c>
      <c r="F43" s="1561">
        <f>+'Tab. 6A -Drogi'!I33</f>
        <v>0</v>
      </c>
      <c r="G43" s="1561">
        <f>+'Tab. 6A -Drogi'!J33</f>
        <v>0</v>
      </c>
      <c r="H43" s="1561">
        <f>+'Tab. 6A -Drogi'!K33</f>
        <v>0</v>
      </c>
      <c r="I43" s="1561">
        <f>+'Tab. 6A -Drogi'!L33</f>
        <v>0</v>
      </c>
      <c r="J43" s="1562">
        <f>B43+C43+D43+E43+F43+G43+H43+I43</f>
        <v>0</v>
      </c>
      <c r="K43" s="3069"/>
      <c r="L43" s="586">
        <f>J43-J28</f>
        <v>0</v>
      </c>
    </row>
    <row r="44" spans="1:14" s="589" customFormat="1" ht="15.75" hidden="1" customHeight="1">
      <c r="A44" s="2200" t="s">
        <v>14</v>
      </c>
      <c r="B44" s="1561">
        <f>+'Tab. 6G - Roln i ochrona środ.'!E31</f>
        <v>0</v>
      </c>
      <c r="C44" s="1561">
        <f>+'Tab. 6G - Roln i ochrona środ.'!F31</f>
        <v>0</v>
      </c>
      <c r="D44" s="1561">
        <f>+'Tab. 6G - Roln i ochrona środ.'!G31</f>
        <v>0</v>
      </c>
      <c r="E44" s="1561">
        <f>+'Tab. 6G - Roln i ochrona środ.'!H31</f>
        <v>0</v>
      </c>
      <c r="F44" s="1561">
        <f>+'Tab. 6G - Roln i ochrona środ.'!I31</f>
        <v>0</v>
      </c>
      <c r="G44" s="1561">
        <f>+'Tab. 6G - Roln i ochrona środ.'!J31</f>
        <v>0</v>
      </c>
      <c r="H44" s="1561">
        <f>+'Tab. 6G - Roln i ochrona środ.'!K31</f>
        <v>0</v>
      </c>
      <c r="I44" s="1561">
        <f>+'Tab. 6G - Roln i ochrona środ.'!L31</f>
        <v>0</v>
      </c>
      <c r="J44" s="1562">
        <f>B44+C44+D44+E44+F44+G44+H44+I44</f>
        <v>0</v>
      </c>
      <c r="K44" s="3069"/>
      <c r="L44" s="586">
        <f>J44-J30</f>
        <v>0</v>
      </c>
    </row>
    <row r="45" spans="1:14" s="589" customFormat="1" ht="14.25" customHeight="1">
      <c r="A45" s="2200" t="s">
        <v>20</v>
      </c>
      <c r="B45" s="2779">
        <f>+'Tab. 6A -Drogi'!E31+'Tab. 6G - Roln i ochrona środ.'!E32+'Tab. 6D - Oświata'!E20+'Tab.6I - Planow. przestrz.'!E23+'Tab. 6B Polit społ i rozwój prz'!E21</f>
        <v>9417736</v>
      </c>
      <c r="C45" s="2779">
        <f>+'Tab. 6A -Drogi'!F31+'Tab. 6G - Roln i ochrona środ.'!F32+'Tab. 6D - Oświata'!F20+'Tab.6I - Planow. przestrz.'!F23+'Tab. 6B Polit społ i rozwój prz'!F21</f>
        <v>527021</v>
      </c>
      <c r="D45" s="2779">
        <f>+'Tab. 6A -Drogi'!G31+'Tab. 6G - Roln i ochrona środ.'!G32+'Tab. 6D - Oświata'!G20+'Tab.6I - Planow. przestrz.'!G23+'Tab. 6B Polit społ i rozwój prz'!G21</f>
        <v>18773293</v>
      </c>
      <c r="E45" s="2779">
        <f>+'Tab. 6A -Drogi'!H31+'Tab. 6G - Roln i ochrona środ.'!H32+'Tab. 6D - Oświata'!H20+'Tab.6I - Planow. przestrz.'!H23+'Tab. 6B Polit społ i rozwój prz'!H21</f>
        <v>14210616</v>
      </c>
      <c r="F45" s="2779">
        <f>+'Tab. 6A -Drogi'!I31+'Tab. 6G - Roln i ochrona środ.'!I32+'Tab. 6D - Oświata'!I20+'Tab.6I - Planow. przestrz.'!I23+'Tab. 6B Polit społ i rozwój prz'!I21</f>
        <v>3359879</v>
      </c>
      <c r="G45" s="2779">
        <f>+'Tab. 6A -Drogi'!J31+'Tab. 6G - Roln i ochrona środ.'!J32+'Tab. 6D - Oświata'!J20+'Tab.6I - Planow. przestrz.'!J23+'Tab. 6B Polit społ i rozwój prz'!J21</f>
        <v>145131</v>
      </c>
      <c r="H45" s="2779">
        <f>+'Tab. 6A -Drogi'!K31+'Tab. 6G - Roln i ochrona środ.'!K32+'Tab. 6D - Oświata'!K20+'Tab.6I - Planow. przestrz.'!K23+'Tab. 6B Polit społ i rozwój prz'!K21</f>
        <v>0</v>
      </c>
      <c r="I45" s="2779">
        <f>+'Tab. 6A -Drogi'!L31+'Tab. 6G - Roln i ochrona środ.'!L32+'Tab. 6D - Oświata'!L20+'Tab.6I - Planow. przestrz.'!L23+'Tab. 6B Polit społ i rozwój prz'!L21</f>
        <v>0</v>
      </c>
      <c r="J45" s="1562">
        <f>B45+C45+D45+E45+F45+G45+H45+I45</f>
        <v>46433676</v>
      </c>
      <c r="K45" s="3069"/>
      <c r="L45" s="586">
        <f>J45-J29-J27</f>
        <v>0</v>
      </c>
      <c r="M45" s="1575" t="s">
        <v>505</v>
      </c>
    </row>
    <row r="46" spans="1:14" s="589" customFormat="1" ht="15.75" customHeight="1" thickBot="1">
      <c r="A46" s="1610" t="s">
        <v>21</v>
      </c>
      <c r="B46" s="2780">
        <f>+'Tab. 6B Polit społ i rozwój prz'!E22+'Tab. 6A -Drogi'!E32+'Tab. 6E - Administracja'!E25+'Tab. 6G - Roln i ochrona środ.'!E30+'Tab. 6H - Kultura fiz. i turyst'!E21+'Tab.6I - Planow. przestrz.'!E22</f>
        <v>180735325</v>
      </c>
      <c r="C46" s="2781">
        <f>+'Tab. 6B Polit społ i rozwój prz'!F22+'Tab. 6A -Drogi'!F32+'Tab. 6E - Administracja'!F25+'Tab. 6G - Roln i ochrona środ.'!F30+'Tab. 6H - Kultura fiz. i turyst'!F21+'Tab.6I - Planow. przestrz.'!F22</f>
        <v>250079225.09999999</v>
      </c>
      <c r="D46" s="2781">
        <f>+'Tab. 6B Polit społ i rozwój prz'!G22+'Tab. 6A -Drogi'!G32+'Tab. 6E - Administracja'!G25+'Tab. 6G - Roln i ochrona środ.'!G30+'Tab. 6H - Kultura fiz. i turyst'!G21+'Tab.6I - Planow. przestrz.'!G22</f>
        <v>419962213</v>
      </c>
      <c r="E46" s="2781">
        <f>+'Tab. 6B Polit społ i rozwój prz'!H22+'Tab. 6A -Drogi'!H32+'Tab. 6E - Administracja'!H25+'Tab. 6G - Roln i ochrona środ.'!H30+'Tab. 6H - Kultura fiz. i turyst'!H21+'Tab.6I - Planow. przestrz.'!H22</f>
        <v>92255127</v>
      </c>
      <c r="F46" s="2781">
        <f>+'Tab. 6B Polit społ i rozwój prz'!I22+'Tab. 6A -Drogi'!I32+'Tab. 6E - Administracja'!I25+'Tab. 6G - Roln i ochrona środ.'!I30+'Tab. 6H - Kultura fiz. i turyst'!I21+'Tab.6I - Planow. przestrz.'!I22</f>
        <v>54803356</v>
      </c>
      <c r="G46" s="2781">
        <f>+'Tab. 6B Polit społ i rozwój prz'!J22+'Tab. 6A -Drogi'!J32+'Tab. 6E - Administracja'!J25+'Tab. 6G - Roln i ochrona środ.'!J30+'Tab. 6H - Kultura fiz. i turyst'!J21+'Tab.6I - Planow. przestrz.'!J22</f>
        <v>32596798</v>
      </c>
      <c r="H46" s="2781">
        <f>+'Tab. 6B Polit społ i rozwój prz'!K22+'Tab. 6A -Drogi'!K32+'Tab. 6E - Administracja'!K25+'Tab. 6G - Roln i ochrona środ.'!K30+'Tab. 6H - Kultura fiz. i turyst'!K21+'Tab.6I - Planow. przestrz.'!K22</f>
        <v>32212309</v>
      </c>
      <c r="I46" s="2781">
        <f>+'Tab. 6B Polit społ i rozwój prz'!L22+'Tab. 6A -Drogi'!L32+'Tab. 6E - Administracja'!L25+'Tab. 6G - Roln i ochrona środ.'!L30+'Tab. 6H - Kultura fiz. i turyst'!L21+'Tab.6I - Planow. przestrz.'!L22</f>
        <v>30993813</v>
      </c>
      <c r="J46" s="2782">
        <f>B46+C46+D46+E46+F46+G46+H46+I46+2029435</f>
        <v>1095667601.0999999</v>
      </c>
      <c r="K46" s="3070"/>
      <c r="L46" s="2191">
        <f>J46-J31</f>
        <v>9.9999904632568359E-2</v>
      </c>
      <c r="M46" s="1575"/>
    </row>
    <row r="47" spans="1:14" s="589" customFormat="1" ht="21" customHeight="1" thickBot="1">
      <c r="A47" s="1548"/>
      <c r="B47" s="1549"/>
      <c r="C47" s="1549"/>
      <c r="D47" s="1549"/>
      <c r="E47" s="1549"/>
      <c r="F47" s="1549"/>
      <c r="G47" s="1549"/>
      <c r="H47" s="1549"/>
      <c r="I47" s="1549"/>
      <c r="J47" s="1549"/>
      <c r="K47" s="1580"/>
      <c r="L47" s="586"/>
    </row>
    <row r="48" spans="1:14" s="1554" customFormat="1" ht="18.75" customHeight="1" thickBot="1">
      <c r="A48" s="1581" t="s">
        <v>27</v>
      </c>
      <c r="B48" s="1582">
        <f>+B16-B25</f>
        <v>249106825.30000001</v>
      </c>
      <c r="C48" s="1582">
        <f t="shared" ref="C48:I48" si="16">+C16-C25</f>
        <v>329309739</v>
      </c>
      <c r="D48" s="1582">
        <f t="shared" si="16"/>
        <v>522669967</v>
      </c>
      <c r="E48" s="1582">
        <f t="shared" si="16"/>
        <v>117767144</v>
      </c>
      <c r="F48" s="1582">
        <f t="shared" si="16"/>
        <v>73356066</v>
      </c>
      <c r="G48" s="1582">
        <f t="shared" si="16"/>
        <v>39747415</v>
      </c>
      <c r="H48" s="1582">
        <f t="shared" si="16"/>
        <v>37602290</v>
      </c>
      <c r="I48" s="1582">
        <f t="shared" si="16"/>
        <v>35477024</v>
      </c>
      <c r="J48" s="1583">
        <f>+J16-J25</f>
        <v>1405036470.3</v>
      </c>
      <c r="K48" s="1584">
        <f>+C48+D48+E48+F48+G48+H48+I48</f>
        <v>1155929645</v>
      </c>
      <c r="L48" s="1585">
        <f>B48+C48+D48+E48+F48+G48+H48+I48</f>
        <v>1405036470.3</v>
      </c>
      <c r="M48" s="1586">
        <f>L48-J48</f>
        <v>0</v>
      </c>
      <c r="N48" s="1586"/>
    </row>
    <row r="49" spans="1:14" s="1554" customFormat="1" ht="16.5" customHeight="1" thickBot="1">
      <c r="A49" s="1581" t="s">
        <v>28</v>
      </c>
      <c r="B49" s="1587">
        <f>+B32</f>
        <v>216664228</v>
      </c>
      <c r="C49" s="1587">
        <f>+C32</f>
        <v>260653426.69999999</v>
      </c>
      <c r="D49" s="1587">
        <f t="shared" ref="D49:I49" si="17">+D32</f>
        <v>447391776</v>
      </c>
      <c r="E49" s="1587">
        <f t="shared" si="17"/>
        <v>111347940</v>
      </c>
      <c r="F49" s="1587">
        <f t="shared" si="17"/>
        <v>59406597</v>
      </c>
      <c r="G49" s="1587">
        <f t="shared" si="17"/>
        <v>33757647</v>
      </c>
      <c r="H49" s="1587">
        <f t="shared" si="17"/>
        <v>33201723</v>
      </c>
      <c r="I49" s="1587">
        <f t="shared" si="17"/>
        <v>31488520</v>
      </c>
      <c r="J49" s="1588">
        <f>+J32</f>
        <v>1195941292.6999998</v>
      </c>
      <c r="K49" s="1589" t="s">
        <v>23</v>
      </c>
      <c r="L49" s="1585">
        <v>105067692</v>
      </c>
      <c r="M49" s="1586" t="s">
        <v>284</v>
      </c>
    </row>
    <row r="50" spans="1:14" s="589" customFormat="1" ht="18.75" hidden="1" customHeight="1">
      <c r="A50" s="1590"/>
      <c r="B50" s="1549">
        <f>'Tab. 6A -Drogi'!E16+'Tab. 6E - Administracja'!E16+'Tab. 6G - Roln i ochrona środ.'!E16</f>
        <v>2196030</v>
      </c>
      <c r="C50" s="1549"/>
      <c r="D50" s="1549"/>
      <c r="E50" s="1549"/>
      <c r="F50" s="1549"/>
      <c r="G50" s="1549"/>
      <c r="H50" s="1549"/>
      <c r="I50" s="1549"/>
      <c r="J50" s="1580"/>
      <c r="K50" s="1575"/>
      <c r="L50" s="1575">
        <f>L49+L48</f>
        <v>1510104162.3</v>
      </c>
      <c r="M50" s="1575">
        <f>J48-L50</f>
        <v>-105067692</v>
      </c>
    </row>
    <row r="51" spans="1:14" s="589" customFormat="1" ht="12.75" hidden="1" customHeight="1">
      <c r="A51" s="1549"/>
      <c r="B51" s="1549">
        <f>'Tab. 6A -Drogi'!E32+'Tab. 6B Polit społ i rozwój prz'!E22+'Tab. 6E - Administracja'!E25+'Tab. 6H - Kultura fiz. i turyst'!E21+'Tab.6I - Planow. przestrz.'!E22+'Tab. 6G - Roln i ochrona środ.'!E30</f>
        <v>180735325</v>
      </c>
      <c r="C51" s="1549">
        <f>'Tab. 6A -Drogi'!F32+'Tab. 6B Polit społ i rozwój prz'!F22+'Tab. 6E - Administracja'!F25+'Tab. 6H - Kultura fiz. i turyst'!F21+'Tab.6I - Planow. przestrz.'!F22+'Tab. 6G - Roln i ochrona środ.'!F30</f>
        <v>250079225.09999999</v>
      </c>
      <c r="D51" s="1549">
        <f>'Tab. 6A -Drogi'!G32+'Tab. 6B Polit społ i rozwój prz'!G22+'Tab. 6E - Administracja'!G25+'Tab. 6H - Kultura fiz. i turyst'!G21+'Tab.6I - Planow. przestrz.'!G22+'Tab. 6G - Roln i ochrona środ.'!G30</f>
        <v>419962213</v>
      </c>
      <c r="E51" s="1549">
        <f>'Tab. 6A -Drogi'!H32+'Tab. 6B Polit społ i rozwój prz'!H22+'Tab. 6E - Administracja'!H25+'Tab. 6H - Kultura fiz. i turyst'!H21+'Tab.6I - Planow. przestrz.'!H22+'Tab. 6G - Roln i ochrona środ.'!H30</f>
        <v>92255127</v>
      </c>
      <c r="F51" s="1549">
        <f>'Tab. 6A -Drogi'!I32+'Tab. 6B Polit społ i rozwój prz'!I22+'Tab. 6E - Administracja'!I25+'Tab. 6H - Kultura fiz. i turyst'!I21+'Tab.6I - Planow. przestrz.'!I22+'Tab. 6G - Roln i ochrona środ.'!I30</f>
        <v>54803356</v>
      </c>
      <c r="G51" s="1549">
        <f>'Tab. 6A -Drogi'!J32+'Tab. 6B Polit społ i rozwój prz'!J22+'Tab. 6E - Administracja'!J25+'Tab. 6H - Kultura fiz. i turyst'!J21+'Tab.6I - Planow. przestrz.'!J22+'Tab. 6G - Roln i ochrona środ.'!J30</f>
        <v>32596798</v>
      </c>
      <c r="H51" s="1549">
        <f>'Tab. 6A -Drogi'!K32+'Tab. 6B Polit społ i rozwój prz'!K22+'Tab. 6E - Administracja'!K25+'Tab. 6H - Kultura fiz. i turyst'!K21+'Tab.6I - Planow. przestrz.'!K22+'Tab. 6G - Roln i ochrona środ.'!K30</f>
        <v>32212309</v>
      </c>
      <c r="I51" s="1549">
        <f>'Tab. 6A -Drogi'!L32+'Tab. 6B Polit społ i rozwój prz'!L22+'Tab. 6E - Administracja'!L25+'Tab. 6H - Kultura fiz. i turyst'!L21+'Tab.6I - Planow. przestrz.'!L22+'Tab. 6G - Roln i ochrona środ.'!L30</f>
        <v>30993813</v>
      </c>
      <c r="J51" s="1549" t="e">
        <f>B51+#REF!+#REF!+C51+D51+E51+F51+G51+H51+I51</f>
        <v>#REF!</v>
      </c>
      <c r="K51" s="586"/>
      <c r="L51" s="586"/>
    </row>
    <row r="52" spans="1:14" s="589" customFormat="1" hidden="1">
      <c r="A52" s="1591"/>
      <c r="B52" s="1549">
        <f>B46-B51</f>
        <v>0</v>
      </c>
      <c r="C52" s="1549">
        <f t="shared" ref="C52:I52" si="18">C46-C51</f>
        <v>0</v>
      </c>
      <c r="D52" s="1549">
        <f t="shared" si="18"/>
        <v>0</v>
      </c>
      <c r="E52" s="1549">
        <f t="shared" si="18"/>
        <v>0</v>
      </c>
      <c r="F52" s="1549">
        <f t="shared" si="18"/>
        <v>0</v>
      </c>
      <c r="G52" s="1549">
        <f t="shared" si="18"/>
        <v>0</v>
      </c>
      <c r="H52" s="1549">
        <f t="shared" si="18"/>
        <v>0</v>
      </c>
      <c r="I52" s="1549">
        <f t="shared" si="18"/>
        <v>0</v>
      </c>
      <c r="J52" s="1549"/>
      <c r="K52" s="586"/>
      <c r="L52" s="586"/>
    </row>
    <row r="53" spans="1:14" s="589" customFormat="1">
      <c r="A53" s="1590"/>
      <c r="B53" s="2759"/>
      <c r="C53" s="1549"/>
      <c r="D53" s="1549"/>
      <c r="E53" s="1549"/>
      <c r="F53" s="1549"/>
      <c r="G53" s="1549"/>
      <c r="H53" s="1549"/>
      <c r="I53" s="1549"/>
      <c r="J53" s="1580"/>
      <c r="K53" s="586"/>
      <c r="L53" s="586"/>
    </row>
    <row r="54" spans="1:14" ht="31.5" customHeight="1" thickBot="1">
      <c r="A54" s="3087" t="s">
        <v>29</v>
      </c>
      <c r="B54" s="3087"/>
      <c r="C54" s="3087"/>
      <c r="D54" s="3087"/>
      <c r="E54" s="3087"/>
      <c r="F54" s="3087"/>
      <c r="G54" s="3087"/>
      <c r="H54" s="3087"/>
      <c r="I54" s="3087"/>
      <c r="J54" s="3087"/>
      <c r="K54" s="1592"/>
    </row>
    <row r="55" spans="1:14" s="1513" customFormat="1" ht="34.5" customHeight="1">
      <c r="A55" s="1519"/>
      <c r="B55" s="3081" t="s">
        <v>295</v>
      </c>
      <c r="C55" s="3083" t="s">
        <v>414</v>
      </c>
      <c r="D55" s="3083"/>
      <c r="E55" s="3083"/>
      <c r="F55" s="3083"/>
      <c r="G55" s="3083"/>
      <c r="H55" s="3083"/>
      <c r="I55" s="3084"/>
      <c r="J55" s="3078" t="s">
        <v>3</v>
      </c>
      <c r="K55" s="3066" t="s">
        <v>430</v>
      </c>
    </row>
    <row r="56" spans="1:14" ht="19.5" customHeight="1">
      <c r="A56" s="1521" t="s">
        <v>4</v>
      </c>
      <c r="B56" s="3082"/>
      <c r="C56" s="3085"/>
      <c r="D56" s="3085"/>
      <c r="E56" s="3085"/>
      <c r="F56" s="3085"/>
      <c r="G56" s="3085"/>
      <c r="H56" s="3085"/>
      <c r="I56" s="3086"/>
      <c r="J56" s="3079"/>
      <c r="K56" s="3067"/>
    </row>
    <row r="57" spans="1:14" ht="24" customHeight="1" thickBot="1">
      <c r="A57" s="1521"/>
      <c r="B57" s="1522" t="s">
        <v>555</v>
      </c>
      <c r="C57" s="1523" t="s">
        <v>5</v>
      </c>
      <c r="D57" s="1523" t="s">
        <v>6</v>
      </c>
      <c r="E57" s="1523" t="s">
        <v>229</v>
      </c>
      <c r="F57" s="1523" t="s">
        <v>231</v>
      </c>
      <c r="G57" s="1523" t="s">
        <v>286</v>
      </c>
      <c r="H57" s="1523" t="s">
        <v>287</v>
      </c>
      <c r="I57" s="1524" t="s">
        <v>285</v>
      </c>
      <c r="J57" s="3080"/>
      <c r="K57" s="3067"/>
    </row>
    <row r="58" spans="1:14" ht="13.5" customHeight="1" thickBot="1">
      <c r="A58" s="1526">
        <v>1</v>
      </c>
      <c r="B58" s="1527">
        <v>2</v>
      </c>
      <c r="C58" s="1528">
        <v>4</v>
      </c>
      <c r="D58" s="1527">
        <v>5</v>
      </c>
      <c r="E58" s="1529">
        <v>6</v>
      </c>
      <c r="F58" s="1530">
        <v>7</v>
      </c>
      <c r="G58" s="1531">
        <v>8</v>
      </c>
      <c r="H58" s="1527">
        <v>9</v>
      </c>
      <c r="I58" s="1531">
        <v>10</v>
      </c>
      <c r="J58" s="1532">
        <v>11</v>
      </c>
      <c r="K58" s="1533">
        <v>12</v>
      </c>
    </row>
    <row r="59" spans="1:14" ht="18.75" customHeight="1">
      <c r="A59" s="1534" t="s">
        <v>7</v>
      </c>
      <c r="B59" s="1535">
        <f>+B60+B61</f>
        <v>466299215</v>
      </c>
      <c r="C59" s="1535">
        <f t="shared" ref="C59:K59" si="19">+C60+C61</f>
        <v>215973356</v>
      </c>
      <c r="D59" s="1535">
        <f t="shared" si="19"/>
        <v>237051967</v>
      </c>
      <c r="E59" s="1535">
        <f>+E60+E61</f>
        <v>245491388</v>
      </c>
      <c r="F59" s="1535">
        <f>+F60+F61</f>
        <v>209807870</v>
      </c>
      <c r="G59" s="1535">
        <f>+G60+G61</f>
        <v>52896082</v>
      </c>
      <c r="H59" s="1535">
        <f>+H60+H61</f>
        <v>7257957</v>
      </c>
      <c r="I59" s="1535">
        <f>+I60+I61</f>
        <v>4270868</v>
      </c>
      <c r="J59" s="1593">
        <f t="shared" si="19"/>
        <v>1439048703</v>
      </c>
      <c r="K59" s="1594">
        <f t="shared" si="19"/>
        <v>972749488</v>
      </c>
      <c r="L59" s="563"/>
      <c r="M59" s="587">
        <f>+C59+D59+E59+F59+G59+H59+I59+B59+'Tab. 6C - Ochrona zdrowia'!O130+'Tab. 6C - Ochrona zdrowia'!O135</f>
        <v>1439048703</v>
      </c>
      <c r="N59" s="588">
        <f>J59-M59</f>
        <v>0</v>
      </c>
    </row>
    <row r="60" spans="1:14" s="1540" customFormat="1" ht="15" customHeight="1">
      <c r="A60" s="1541" t="s">
        <v>431</v>
      </c>
      <c r="B60" s="1542">
        <f>'Tab. 6A -Drogi'!E596+'Tab. 6C - Ochrona zdrowia'!E11+'Tab. 6D - Oświata'!E74+'Tab. 6E - Administracja'!E259+'Tab. 6F - Kultura'!E8+'Tab. 6G - Roln i ochrona środ.'!E179+'Tab. 6H - Kultura fiz. i turyst'!E254+'Tab.6I - Planow. przestrz.'!E84</f>
        <v>362255011</v>
      </c>
      <c r="C60" s="1542">
        <f>'Tab. 6A -Drogi'!F596+'Tab. 6C - Ochrona zdrowia'!F11+'Tab. 6D - Oświata'!F74+'Tab. 6E - Administracja'!F259+'Tab. 6F - Kultura'!F8+'Tab. 6G - Roln i ochrona środ.'!F179+'Tab. 6H - Kultura fiz. i turyst'!F254+'Tab.6I - Planow. przestrz.'!F84</f>
        <v>138871093</v>
      </c>
      <c r="D60" s="1542">
        <f>'Tab. 6A -Drogi'!G596+'Tab. 6C - Ochrona zdrowia'!G11+'Tab. 6D - Oświata'!G74+'Tab. 6E - Administracja'!G259+'Tab. 6F - Kultura'!G8+'Tab. 6G - Roln i ochrona środ.'!G179+'Tab. 6H - Kultura fiz. i turyst'!G254+'Tab.6I - Planow. przestrz.'!G84</f>
        <v>163730820</v>
      </c>
      <c r="E60" s="1542">
        <f>'Tab. 6A -Drogi'!H596+'Tab. 6C - Ochrona zdrowia'!H11+'Tab. 6D - Oświata'!H74+'Tab. 6E - Administracja'!H259+'Tab. 6F - Kultura'!H8+'Tab. 6G - Roln i ochrona środ.'!H179+'Tab. 6H - Kultura fiz. i turyst'!H254+'Tab.6I - Planow. przestrz.'!H84</f>
        <v>154073528</v>
      </c>
      <c r="F60" s="1542">
        <f>'Tab. 6A -Drogi'!I596+'Tab. 6C - Ochrona zdrowia'!I11+'Tab. 6D - Oświata'!I74+'Tab. 6E - Administracja'!I259+'Tab. 6F - Kultura'!I8+'Tab. 6G - Roln i ochrona środ.'!I179+'Tab. 6H - Kultura fiz. i turyst'!I254+'Tab.6I - Planow. przestrz.'!I84</f>
        <v>148916370</v>
      </c>
      <c r="G60" s="1542">
        <f>'Tab. 6A -Drogi'!J596+'Tab. 6C - Ochrona zdrowia'!J11+'Tab. 6D - Oświata'!J74+'Tab. 6E - Administracja'!J259+'Tab. 6F - Kultura'!J8+'Tab. 6G - Roln i ochrona środ.'!J179+'Tab. 6H - Kultura fiz. i turyst'!J254+'Tab.6I - Planow. przestrz.'!J84</f>
        <v>9268402</v>
      </c>
      <c r="H60" s="1542">
        <f>'Tab. 6A -Drogi'!K596+'Tab. 6C - Ochrona zdrowia'!K11+'Tab. 6D - Oświata'!K74+'Tab. 6E - Administracja'!K259+'Tab. 6F - Kultura'!K8+'Tab. 6G - Roln i ochrona środ.'!K179+'Tab. 6H - Kultura fiz. i turyst'!K254+'Tab.6I - Planow. przestrz.'!K84</f>
        <v>5199552</v>
      </c>
      <c r="I60" s="1542">
        <f>'Tab. 6A -Drogi'!L596+'Tab. 6C - Ochrona zdrowia'!L11+'Tab. 6D - Oświata'!L74+'Tab. 6E - Administracja'!L259+'Tab. 6F - Kultura'!L8+'Tab. 6G - Roln i ochrona środ.'!L179+'Tab. 6H - Kultura fiz. i turyst'!L254+'Tab.6I - Planow. przestrz.'!L84</f>
        <v>4270868</v>
      </c>
      <c r="J60" s="1595">
        <f>'Tab. 6A -Drogi'!D596+'Tab. 6C - Ochrona zdrowia'!D11+'Tab. 6D - Oświata'!D74+'Tab. 6E - Administracja'!D259+'Tab. 6F - Kultura'!D8+'Tab. 6G - Roln i ochrona środ.'!D179+'Tab. 6H - Kultura fiz. i turyst'!D254+'Tab.6I - Planow. przestrz.'!D84</f>
        <v>986585644</v>
      </c>
      <c r="K60" s="1845">
        <f>SUM(C60:I60)+'Tab. 6C - Ochrona zdrowia'!O130+'Tab. 6C - Ochrona zdrowia'!O135</f>
        <v>624330633</v>
      </c>
      <c r="L60" s="260"/>
      <c r="M60" s="587">
        <f>+C60+D60+E60+F60+G60+H60+I60+B60+'Tab. 6C - Ochrona zdrowia'!O130+'Tab. 6C - Ochrona zdrowia'!O135</f>
        <v>986585644</v>
      </c>
      <c r="N60" s="588">
        <f t="shared" ref="N60:N74" si="20">J60-M60</f>
        <v>0</v>
      </c>
    </row>
    <row r="61" spans="1:14" ht="14.25" customHeight="1" thickBot="1">
      <c r="A61" s="1596" t="s">
        <v>30</v>
      </c>
      <c r="B61" s="1597">
        <f>'Tab. 6A -Drogi'!E597+'Tab. 6C - Ochrona zdrowia'!E12+'Tab. 6D - Oświata'!E75+'Tab. 6E - Administracja'!E260+'Tab. 6F - Kultura'!E9+'Tab. 6G - Roln i ochrona środ.'!E180</f>
        <v>104044204</v>
      </c>
      <c r="C61" s="1597">
        <f>'Tab. 6A -Drogi'!F597+'Tab. 6C - Ochrona zdrowia'!F12+'Tab. 6D - Oświata'!F75+'Tab. 6E - Administracja'!F260+'Tab. 6F - Kultura'!F9+'Tab. 6G - Roln i ochrona środ.'!F180</f>
        <v>77102263</v>
      </c>
      <c r="D61" s="1597">
        <f>'Tab. 6A -Drogi'!G597+'Tab. 6C - Ochrona zdrowia'!G12+'Tab. 6D - Oświata'!G75+'Tab. 6E - Administracja'!G260+'Tab. 6F - Kultura'!G9+'Tab. 6G - Roln i ochrona środ.'!G180</f>
        <v>73321147</v>
      </c>
      <c r="E61" s="1597">
        <f>'Tab. 6A -Drogi'!H597+'Tab. 6C - Ochrona zdrowia'!H12+'Tab. 6D - Oświata'!H75+'Tab. 6E - Administracja'!H260+'Tab. 6F - Kultura'!H9+'Tab. 6G - Roln i ochrona środ.'!H180</f>
        <v>91417860</v>
      </c>
      <c r="F61" s="1597">
        <f>'Tab. 6A -Drogi'!I597+'Tab. 6C - Ochrona zdrowia'!I12+'Tab. 6D - Oświata'!I75+'Tab. 6E - Administracja'!I260+'Tab. 6F - Kultura'!I9+'Tab. 6G - Roln i ochrona środ.'!I180</f>
        <v>60891500</v>
      </c>
      <c r="G61" s="1597">
        <f>'Tab. 6A -Drogi'!J597+'Tab. 6C - Ochrona zdrowia'!J12+'Tab. 6D - Oświata'!J75+'Tab. 6E - Administracja'!J260+'Tab. 6F - Kultura'!J9+'Tab. 6G - Roln i ochrona środ.'!J180</f>
        <v>43627680</v>
      </c>
      <c r="H61" s="1597">
        <f>'Tab. 6A -Drogi'!K597+'Tab. 6C - Ochrona zdrowia'!K12+'Tab. 6D - Oświata'!K75+'Tab. 6E - Administracja'!K260+'Tab. 6F - Kultura'!K9+'Tab. 6G - Roln i ochrona środ.'!K180</f>
        <v>2058405</v>
      </c>
      <c r="I61" s="1597">
        <f>'Tab. 6A -Drogi'!L597+'Tab. 6C - Ochrona zdrowia'!L12+'Tab. 6D - Oświata'!L75+'Tab. 6E - Administracja'!L260+'Tab. 6F - Kultura'!L9+'Tab. 6G - Roln i ochrona środ.'!L180</f>
        <v>0</v>
      </c>
      <c r="J61" s="1598">
        <f>'Tab. 6A -Drogi'!D597+'Tab. 6C - Ochrona zdrowia'!D12+'Tab. 6D - Oświata'!D75+'Tab. 6E - Administracja'!D260+'Tab. 6F - Kultura'!D9+'Tab. 6G - Roln i ochrona środ.'!D180</f>
        <v>452463059</v>
      </c>
      <c r="K61" s="1846">
        <f>SUM(C61:I61)</f>
        <v>348418855</v>
      </c>
      <c r="L61" s="260"/>
      <c r="M61" s="587">
        <f>+C61+D61+E61+F61+G61+H61+I61+B61</f>
        <v>452463059</v>
      </c>
      <c r="N61" s="588">
        <f t="shared" si="20"/>
        <v>0</v>
      </c>
    </row>
    <row r="62" spans="1:14" s="589" customFormat="1" ht="4.5" customHeight="1">
      <c r="A62" s="1548"/>
      <c r="B62" s="1549"/>
      <c r="C62" s="1549"/>
      <c r="D62" s="1578"/>
      <c r="E62" s="1549"/>
      <c r="F62" s="1549"/>
      <c r="G62" s="1549"/>
      <c r="H62" s="1549"/>
      <c r="I62" s="1549"/>
      <c r="J62" s="1580"/>
      <c r="K62" s="1579"/>
      <c r="L62" s="586"/>
      <c r="M62" s="587"/>
      <c r="N62" s="588"/>
    </row>
    <row r="63" spans="1:14" s="1572" customFormat="1" ht="18" customHeight="1">
      <c r="A63" s="1550" t="s">
        <v>10</v>
      </c>
      <c r="B63" s="1551">
        <f>+B64+B73</f>
        <v>482243537</v>
      </c>
      <c r="C63" s="1551">
        <f t="shared" ref="C63:J63" si="21">+C64+C73</f>
        <v>223182567</v>
      </c>
      <c r="D63" s="1551">
        <f t="shared" si="21"/>
        <v>249035617</v>
      </c>
      <c r="E63" s="1551">
        <f>+E64+E73</f>
        <v>265891388</v>
      </c>
      <c r="F63" s="1551">
        <f>+F64+F73</f>
        <v>221750370</v>
      </c>
      <c r="G63" s="1551">
        <f>+G64+G73</f>
        <v>61396082</v>
      </c>
      <c r="H63" s="1551">
        <f>+H64+H73</f>
        <v>17350457</v>
      </c>
      <c r="I63" s="1551">
        <f>+I64+I73</f>
        <v>4270868</v>
      </c>
      <c r="J63" s="1552">
        <f t="shared" si="21"/>
        <v>1525120886</v>
      </c>
      <c r="K63" s="1599">
        <f>+K64+K73</f>
        <v>972749488</v>
      </c>
      <c r="L63" s="1585"/>
      <c r="M63" s="587">
        <f>+C63+D63+E63+F63+G63+H63+I63+B63+'Tab. 6C - Ochrona zdrowia'!O130+'Tab. 6C - Ochrona zdrowia'!O135</f>
        <v>1525120886</v>
      </c>
      <c r="N63" s="588">
        <f t="shared" si="20"/>
        <v>0</v>
      </c>
    </row>
    <row r="64" spans="1:14" s="1559" customFormat="1" ht="18" customHeight="1">
      <c r="A64" s="1555" t="s">
        <v>11</v>
      </c>
      <c r="B64" s="1600">
        <f t="shared" ref="B64" si="22">SUM(B65:B72)</f>
        <v>482243537</v>
      </c>
      <c r="C64" s="1600">
        <f t="shared" ref="C64:J64" si="23">SUM(C65:C72)</f>
        <v>223160212</v>
      </c>
      <c r="D64" s="1600">
        <f t="shared" si="23"/>
        <v>237051967</v>
      </c>
      <c r="E64" s="1600">
        <f>SUM(E65:E72)</f>
        <v>245491388</v>
      </c>
      <c r="F64" s="1600">
        <f t="shared" si="23"/>
        <v>209807870</v>
      </c>
      <c r="G64" s="1600">
        <f>SUM(G65:G72)</f>
        <v>52896082</v>
      </c>
      <c r="H64" s="1600">
        <f>SUM(H65:H72)</f>
        <v>7257957</v>
      </c>
      <c r="I64" s="1600">
        <f>SUM(I65:I72)</f>
        <v>4270868</v>
      </c>
      <c r="J64" s="1601">
        <f t="shared" si="23"/>
        <v>1462179881</v>
      </c>
      <c r="K64" s="1602">
        <f>SUM(K65:K72)</f>
        <v>972749488</v>
      </c>
      <c r="L64" s="586"/>
      <c r="M64" s="587">
        <f>+C64+D64+E64+F64+G64+H64+I64+B64+'Tab. 6C - Ochrona zdrowia'!O130+'Tab. 6C - Ochrona zdrowia'!O135</f>
        <v>1462179881</v>
      </c>
      <c r="N64" s="588">
        <f t="shared" si="20"/>
        <v>0</v>
      </c>
    </row>
    <row r="65" spans="1:14" s="589" customFormat="1" ht="16.5" customHeight="1">
      <c r="A65" s="1560" t="s">
        <v>31</v>
      </c>
      <c r="B65" s="592">
        <f>+'Tab. 6D - Oświata'!E80+'Tab. 6A -Drogi'!E600+'Tab. 6E - Administracja'!E263+'Tab. 6C - Ochrona zdrowia'!E15+'Tab.6I - Planow. przestrz.'!E88+'Tab. 6G - Roln i ochrona środ.'!E183+'Tab. 6H - Kultura fiz. i turyst'!E258</f>
        <v>392412644</v>
      </c>
      <c r="C65" s="592">
        <f>+'Tab. 6D - Oświata'!F80+'Tab. 6A -Drogi'!F600+'Tab. 6E - Administracja'!F263+'Tab. 6C - Ochrona zdrowia'!F15+'Tab.6I - Planow. przestrz.'!F88+'Tab. 6G - Roln i ochrona środ.'!F183+'Tab. 6H - Kultura fiz. i turyst'!F258</f>
        <v>142486156</v>
      </c>
      <c r="D65" s="592">
        <f>+'Tab. 6D - Oświata'!G80+'Tab. 6A -Drogi'!G600+'Tab. 6E - Administracja'!G263+'Tab. 6C - Ochrona zdrowia'!G15+'Tab.6I - Planow. przestrz.'!G88+'Tab. 6G - Roln i ochrona środ.'!G183+'Tab. 6H - Kultura fiz. i turyst'!G258</f>
        <v>185352838</v>
      </c>
      <c r="E65" s="592">
        <f>+'Tab. 6D - Oświata'!H80+'Tab. 6A -Drogi'!H600+'Tab. 6E - Administracja'!H263+'Tab. 6C - Ochrona zdrowia'!H15+'Tab.6I - Planow. przestrz.'!H88+'Tab. 6G - Roln i ochrona środ.'!H183+'Tab. 6H - Kultura fiz. i turyst'!H258</f>
        <v>182519028</v>
      </c>
      <c r="F65" s="592">
        <f>+'Tab. 6D - Oświata'!I80+'Tab. 6A -Drogi'!I600+'Tab. 6E - Administracja'!I263+'Tab. 6C - Ochrona zdrowia'!I15+'Tab.6I - Planow. przestrz.'!I88+'Tab. 6G - Roln i ochrona środ.'!I183+'Tab. 6H - Kultura fiz. i turyst'!I258</f>
        <v>169583510</v>
      </c>
      <c r="G65" s="592">
        <f>+'Tab. 6D - Oświata'!J80+'Tab. 6A -Drogi'!J600+'Tab. 6E - Administracja'!J263+'Tab. 6C - Ochrona zdrowia'!J15+'Tab.6I - Planow. przestrz.'!J88+'Tab. 6G - Roln i ochrona środ.'!J183+'Tab. 6H - Kultura fiz. i turyst'!J258</f>
        <v>9268402</v>
      </c>
      <c r="H65" s="592">
        <f>+'Tab. 6D - Oświata'!K80+'Tab. 6A -Drogi'!K600+'Tab. 6E - Administracja'!K263+'Tab. 6C - Ochrona zdrowia'!K15+'Tab.6I - Planow. przestrz.'!K88+'Tab. 6G - Roln i ochrona środ.'!K183+'Tab. 6H - Kultura fiz. i turyst'!K258</f>
        <v>5199552</v>
      </c>
      <c r="I65" s="592">
        <f>+'Tab. 6D - Oświata'!L80+'Tab. 6A -Drogi'!L600+'Tab. 6E - Administracja'!L263+'Tab. 6C - Ochrona zdrowia'!L15+'Tab.6I - Planow. przestrz.'!L88+'Tab. 6G - Roln i ochrona środ.'!L183+'Tab. 6H - Kultura fiz. i turyst'!L258</f>
        <v>4270868</v>
      </c>
      <c r="J65" s="1562">
        <f>B65+C65+D65+E65+F65+G65+H65+I65+'Tab. 6C - Ochrona zdrowia'!O130+'Tab. 6C - Ochrona zdrowia'!O135</f>
        <v>1091092998</v>
      </c>
      <c r="K65" s="1544">
        <f>SUM(C65:I65)+'Tab. 6C - Ochrona zdrowia'!O130+'Tab. 6C - Ochrona zdrowia'!O135</f>
        <v>698680354</v>
      </c>
      <c r="L65" s="260"/>
      <c r="M65" s="587">
        <f>+C65+D65+E65+F65+G65+H65+I65+B65+'Tab. 6C - Ochrona zdrowia'!O130+'Tab. 6C - Ochrona zdrowia'!O135</f>
        <v>1091092998</v>
      </c>
      <c r="N65" s="588">
        <f t="shared" si="20"/>
        <v>0</v>
      </c>
    </row>
    <row r="66" spans="1:14" s="589" customFormat="1" ht="15.75" customHeight="1">
      <c r="A66" s="590" t="s">
        <v>16</v>
      </c>
      <c r="B66" s="591">
        <f>+'Tab. 6A -Drogi'!E603+'Tab. 6G - Roln i ochrona środ.'!E187+'Tab. 6H - Kultura fiz. i turyst'!E13</f>
        <v>0</v>
      </c>
      <c r="C66" s="592">
        <f>+'Tab. 6A -Drogi'!F603+'Tab. 6G - Roln i ochrona środ.'!F187+'Tab. 6H - Kultura fiz. i turyst'!F259</f>
        <v>10003578</v>
      </c>
      <c r="D66" s="592">
        <f>+'Tab. 6A -Drogi'!G603+'Tab. 6G - Roln i ochrona środ.'!G187+'Tab. 6H - Kultura fiz. i turyst'!G259</f>
        <v>24142763</v>
      </c>
      <c r="E66" s="592">
        <f>+'Tab. 6A -Drogi'!H603+'Tab. 6G - Roln i ochrona środ.'!H187+'Tab. 6H - Kultura fiz. i turyst'!H259</f>
        <v>14120000</v>
      </c>
      <c r="F66" s="592">
        <f>+'Tab. 6A -Drogi'!I603+'Tab. 6G - Roln i ochrona środ.'!I187+'Tab. 6H - Kultura fiz. i turyst'!I259</f>
        <v>14182860</v>
      </c>
      <c r="G66" s="591">
        <f>+'Tab. 6A -Drogi'!J603+'Tab. 6G - Roln i ochrona środ.'!J187+'Tab. 6H - Kultura fiz. i turyst'!J259</f>
        <v>0</v>
      </c>
      <c r="H66" s="591">
        <f>+'Tab. 6A -Drogi'!K603+'Tab. 6G - Roln i ochrona środ.'!K187+'Tab. 6H - Kultura fiz. i turyst'!K259</f>
        <v>0</v>
      </c>
      <c r="I66" s="591">
        <f>+'Tab. 6A -Drogi'!L603+'Tab. 6G - Roln i ochrona środ.'!L187+'Tab. 6H - Kultura fiz. i turyst'!L259</f>
        <v>0</v>
      </c>
      <c r="J66" s="1562">
        <f t="shared" ref="J66:J72" si="24">B66+C66+D66+E66+F66+G66+H66+I66</f>
        <v>62449201</v>
      </c>
      <c r="K66" s="1544">
        <f>SUM(C66:I66)</f>
        <v>62449201</v>
      </c>
      <c r="L66" s="260"/>
      <c r="M66" s="587">
        <f>+C66+D66+E66+F66+G66+H66+I66+B66</f>
        <v>62449201</v>
      </c>
      <c r="N66" s="588">
        <f t="shared" si="20"/>
        <v>0</v>
      </c>
    </row>
    <row r="67" spans="1:14" s="589" customFormat="1" ht="15.75" customHeight="1">
      <c r="A67" s="590" t="s">
        <v>32</v>
      </c>
      <c r="B67" s="592">
        <f>+'Tab. 6F - Kultura'!E12+'Tab. 6C - Ochrona zdrowia'!E16</f>
        <v>15944322</v>
      </c>
      <c r="C67" s="592">
        <f>+'Tab. 6F - Kultura'!F12+'Tab. 6C - Ochrona zdrowia'!F16</f>
        <v>7186856</v>
      </c>
      <c r="D67" s="591">
        <f>+'Tab. 6F - Kultura'!G12+'Tab. 6C - Ochrona zdrowia'!G16</f>
        <v>0</v>
      </c>
      <c r="E67" s="591">
        <f>+'Tab. 6F - Kultura'!H12+'Tab. 6C - Ochrona zdrowia'!H16</f>
        <v>0</v>
      </c>
      <c r="F67" s="591">
        <f>+'Tab. 6F - Kultura'!I12+'Tab. 6C - Ochrona zdrowia'!I16</f>
        <v>0</v>
      </c>
      <c r="G67" s="591">
        <f>+'Tab. 6F - Kultura'!J12+'Tab. 6C - Ochrona zdrowia'!J16</f>
        <v>0</v>
      </c>
      <c r="H67" s="591">
        <f>+'Tab. 6F - Kultura'!K12+'Tab. 6C - Ochrona zdrowia'!K16</f>
        <v>0</v>
      </c>
      <c r="I67" s="591">
        <f>+'Tab. 6F - Kultura'!L12+'Tab. 6C - Ochrona zdrowia'!L16+'Tab. 6H - Kultura fiz. i turyst'!L13</f>
        <v>0</v>
      </c>
      <c r="J67" s="1562">
        <f t="shared" si="24"/>
        <v>23131178</v>
      </c>
      <c r="K67" s="1570">
        <v>0</v>
      </c>
      <c r="L67" s="586"/>
      <c r="M67" s="587">
        <f t="shared" ref="M67:M74" si="25">+C67+D67+E67+F67+G67+H67+I67+B67</f>
        <v>23131178</v>
      </c>
      <c r="N67" s="588">
        <f t="shared" si="20"/>
        <v>0</v>
      </c>
    </row>
    <row r="68" spans="1:14" s="589" customFormat="1" ht="15.75" customHeight="1">
      <c r="A68" s="1560" t="s">
        <v>33</v>
      </c>
      <c r="B68" s="592">
        <f>+'Tab. 6F - Kultura'!E13+'Tab. 6C - Ochrona zdrowia'!E17+'Tab. 6D - Oświata'!E79+'Tab. 6H - Kultura fiz. i turyst'!E267</f>
        <v>33000296</v>
      </c>
      <c r="C68" s="592">
        <f>+'Tab. 6F - Kultura'!F13+'Tab. 6C - Ochrona zdrowia'!F17+'Tab. 6D - Oświata'!F79+'Tab. 6H - Kultura fiz. i turyst'!F267</f>
        <v>5892386</v>
      </c>
      <c r="D68" s="592">
        <f>+'Tab. 6F - Kultura'!G13+'Tab. 6C - Ochrona zdrowia'!G17+'Tab. 6D - Oświata'!G79+'Tab. 6H - Kultura fiz. i turyst'!G267</f>
        <v>8692126</v>
      </c>
      <c r="E68" s="592">
        <f>+'Tab. 6F - Kultura'!H13+'Tab. 6C - Ochrona zdrowia'!H17+'Tab. 6D - Oświata'!H79+'Tab. 6H - Kultura fiz. i turyst'!H267</f>
        <v>12305000</v>
      </c>
      <c r="F68" s="592">
        <f>+'Tab. 6F - Kultura'!I13+'Tab. 6C - Ochrona zdrowia'!I17+'Tab. 6D - Oświata'!I79+'Tab. 6H - Kultura fiz. i turyst'!I267</f>
        <v>5657500</v>
      </c>
      <c r="G68" s="592">
        <f>+'Tab. 6F - Kultura'!J13+'Tab. 6C - Ochrona zdrowia'!J17+'Tab. 6D - Oświata'!J79+'Tab. 6H - Kultura fiz. i turyst'!J267</f>
        <v>3566880</v>
      </c>
      <c r="H68" s="592">
        <f>+'Tab. 6F - Kultura'!K13+'Tab. 6C - Ochrona zdrowia'!K17+'Tab. 6D - Oświata'!K79+'Tab. 6H - Kultura fiz. i turyst'!K267</f>
        <v>1472245</v>
      </c>
      <c r="I68" s="591">
        <f>+'Tab. 6F - Kultura'!L13+'Tab. 6C - Ochrona zdrowia'!L17+'Tab. 6D - Oświata'!L79+'Tab. 6H - Kultura fiz. i turyst'!L267</f>
        <v>0</v>
      </c>
      <c r="J68" s="1562">
        <f t="shared" si="24"/>
        <v>70586433</v>
      </c>
      <c r="K68" s="1544">
        <f>SUM(C68:I68)</f>
        <v>37586137</v>
      </c>
      <c r="L68" s="260"/>
      <c r="M68" s="587">
        <f t="shared" si="25"/>
        <v>70586433</v>
      </c>
      <c r="N68" s="588">
        <f t="shared" si="20"/>
        <v>0</v>
      </c>
    </row>
    <row r="69" spans="1:14" s="589" customFormat="1" ht="15.75" customHeight="1">
      <c r="A69" s="590" t="s">
        <v>15</v>
      </c>
      <c r="B69" s="592">
        <f>+'Tab. 6A -Drogi'!E602+'Tab. 6C - Ochrona zdrowia'!E20</f>
        <v>13737991</v>
      </c>
      <c r="C69" s="592">
        <f>+'Tab. 6A -Drogi'!F602+'Tab. 6C - Ochrona zdrowia'!F20</f>
        <v>4243008</v>
      </c>
      <c r="D69" s="591">
        <f>+'Tab. 6A -Drogi'!G602+'Tab. 6C - Ochrona zdrowia'!G20</f>
        <v>0</v>
      </c>
      <c r="E69" s="591">
        <f>+'Tab. 6A -Drogi'!H602+'Tab. 6C - Ochrona zdrowia'!H20</f>
        <v>0</v>
      </c>
      <c r="F69" s="591">
        <f>+'Tab. 6A -Drogi'!I602+'Tab. 6C - Ochrona zdrowia'!I20</f>
        <v>0</v>
      </c>
      <c r="G69" s="591">
        <f>+'Tab. 6A -Drogi'!J602+'Tab. 6C - Ochrona zdrowia'!J20</f>
        <v>0</v>
      </c>
      <c r="H69" s="591">
        <f>+'Tab. 6A -Drogi'!K602+'Tab. 6C - Ochrona zdrowia'!K20</f>
        <v>0</v>
      </c>
      <c r="I69" s="591">
        <f>+'Tab. 6A -Drogi'!L602+'Tab. 6C - Ochrona zdrowia'!L20</f>
        <v>0</v>
      </c>
      <c r="J69" s="1562">
        <f t="shared" si="24"/>
        <v>17980999</v>
      </c>
      <c r="K69" s="1544">
        <f>SUM(C69:I69)</f>
        <v>4243008</v>
      </c>
      <c r="L69" s="260"/>
      <c r="M69" s="587">
        <f t="shared" si="25"/>
        <v>17980999</v>
      </c>
      <c r="N69" s="588">
        <f t="shared" si="20"/>
        <v>0</v>
      </c>
    </row>
    <row r="70" spans="1:14" s="589" customFormat="1" ht="15.75" customHeight="1">
      <c r="A70" s="590" t="s">
        <v>13</v>
      </c>
      <c r="B70" s="592">
        <f>+'Tab. 6A -Drogi'!E601+'Tab. 6C - Ochrona zdrowia'!E18</f>
        <v>27148284</v>
      </c>
      <c r="C70" s="592">
        <f>+'Tab. 6A -Drogi'!F601+'Tab. 6C - Ochrona zdrowia'!F18</f>
        <v>25729988</v>
      </c>
      <c r="D70" s="591">
        <f>+'Tab. 6A -Drogi'!G601+'Tab. 6C - Ochrona zdrowia'!G18</f>
        <v>0</v>
      </c>
      <c r="E70" s="591">
        <f>+'Tab. 6A -Drogi'!H601+'Tab. 6C - Ochrona zdrowia'!H18</f>
        <v>0</v>
      </c>
      <c r="F70" s="591">
        <f>+'Tab. 6A -Drogi'!I601+'Tab. 6C - Ochrona zdrowia'!I18</f>
        <v>0</v>
      </c>
      <c r="G70" s="591">
        <f>+'Tab. 6A -Drogi'!J601+'Tab. 6C - Ochrona zdrowia'!J18</f>
        <v>0</v>
      </c>
      <c r="H70" s="591">
        <f>+'Tab. 6A -Drogi'!K601+'Tab. 6C - Ochrona zdrowia'!K18</f>
        <v>0</v>
      </c>
      <c r="I70" s="591">
        <f>+'Tab. 6A -Drogi'!L601+'Tab. 6C - Ochrona zdrowia'!L18</f>
        <v>0</v>
      </c>
      <c r="J70" s="1562">
        <f t="shared" si="24"/>
        <v>52878272</v>
      </c>
      <c r="K70" s="1544">
        <f t="shared" ref="K70" si="26">SUM(C70:I70)</f>
        <v>25729988</v>
      </c>
      <c r="L70" s="260"/>
      <c r="M70" s="587">
        <f t="shared" si="25"/>
        <v>52878272</v>
      </c>
      <c r="N70" s="588">
        <f t="shared" si="20"/>
        <v>0</v>
      </c>
    </row>
    <row r="71" spans="1:14" s="589" customFormat="1" ht="14.25" hidden="1" customHeight="1">
      <c r="A71" s="1603" t="s">
        <v>34</v>
      </c>
      <c r="B71" s="592">
        <v>0</v>
      </c>
      <c r="C71" s="591">
        <f>+'Tab. 6C - Ochrona zdrowia'!F19</f>
        <v>0</v>
      </c>
      <c r="D71" s="591">
        <f>+'Tab. 6D - Oświata'!G78</f>
        <v>0</v>
      </c>
      <c r="E71" s="591">
        <f>+'Tab. 6D - Oświata'!H78</f>
        <v>0</v>
      </c>
      <c r="F71" s="591">
        <f>+'Tab. 6D - Oświata'!I78</f>
        <v>0</v>
      </c>
      <c r="G71" s="591">
        <f>+'Tab. 6D - Oświata'!J78</f>
        <v>0</v>
      </c>
      <c r="H71" s="591">
        <f>+'Tab. 6D - Oświata'!K78</f>
        <v>0</v>
      </c>
      <c r="I71" s="591">
        <f>+'Tab. 6D - Oświata'!L78</f>
        <v>0</v>
      </c>
      <c r="J71" s="1562">
        <f t="shared" si="24"/>
        <v>0</v>
      </c>
      <c r="K71" s="1604">
        <v>0</v>
      </c>
      <c r="L71" s="586"/>
      <c r="M71" s="587">
        <f t="shared" si="25"/>
        <v>0</v>
      </c>
      <c r="N71" s="588">
        <f t="shared" si="20"/>
        <v>0</v>
      </c>
    </row>
    <row r="72" spans="1:14" s="589" customFormat="1" ht="15.75" customHeight="1">
      <c r="A72" s="590" t="s">
        <v>14</v>
      </c>
      <c r="B72" s="591">
        <f>+'Tab. 6G - Roln i ochrona środ.'!E186+'Tab. 6E - Administracja'!E280</f>
        <v>0</v>
      </c>
      <c r="C72" s="592">
        <f>'Tab. 6G - Roln i ochrona środ.'!F186</f>
        <v>27618240</v>
      </c>
      <c r="D72" s="592">
        <f>'Tab. 6G - Roln i ochrona środ.'!G186</f>
        <v>18864240</v>
      </c>
      <c r="E72" s="592">
        <f>'Tab. 6G - Roln i ochrona środ.'!H186</f>
        <v>36547360</v>
      </c>
      <c r="F72" s="592">
        <f>'Tab. 6G - Roln i ochrona środ.'!I186</f>
        <v>20384000</v>
      </c>
      <c r="G72" s="592">
        <f>'Tab. 6G - Roln i ochrona środ.'!J186</f>
        <v>40060800</v>
      </c>
      <c r="H72" s="592">
        <f>'Tab. 6G - Roln i ochrona środ.'!K186</f>
        <v>586160</v>
      </c>
      <c r="I72" s="591">
        <f>'Tab. 6G - Roln i ochrona środ.'!L186</f>
        <v>0</v>
      </c>
      <c r="J72" s="1562">
        <f t="shared" si="24"/>
        <v>144060800</v>
      </c>
      <c r="K72" s="1544">
        <f>SUM(C72:I72)</f>
        <v>144060800</v>
      </c>
      <c r="L72" s="260"/>
      <c r="M72" s="587">
        <f t="shared" si="25"/>
        <v>144060800</v>
      </c>
      <c r="N72" s="588">
        <f t="shared" si="20"/>
        <v>0</v>
      </c>
    </row>
    <row r="73" spans="1:14" s="589" customFormat="1" ht="18" customHeight="1">
      <c r="A73" s="581" t="s">
        <v>18</v>
      </c>
      <c r="B73" s="583">
        <f t="shared" ref="B73:I73" si="27">SUM(B74:B74)</f>
        <v>0</v>
      </c>
      <c r="C73" s="582">
        <f t="shared" si="27"/>
        <v>22355</v>
      </c>
      <c r="D73" s="582">
        <f t="shared" si="27"/>
        <v>11983650</v>
      </c>
      <c r="E73" s="582">
        <f t="shared" si="27"/>
        <v>20400000</v>
      </c>
      <c r="F73" s="582">
        <f t="shared" si="27"/>
        <v>11942500</v>
      </c>
      <c r="G73" s="582">
        <f t="shared" si="27"/>
        <v>8500000</v>
      </c>
      <c r="H73" s="582">
        <f t="shared" si="27"/>
        <v>10092500</v>
      </c>
      <c r="I73" s="583">
        <f t="shared" si="27"/>
        <v>0</v>
      </c>
      <c r="J73" s="584">
        <f>+J74</f>
        <v>62941005</v>
      </c>
      <c r="K73" s="585">
        <v>0</v>
      </c>
      <c r="L73" s="586"/>
      <c r="M73" s="587">
        <f t="shared" si="25"/>
        <v>62941005</v>
      </c>
      <c r="N73" s="588">
        <f t="shared" si="20"/>
        <v>0</v>
      </c>
    </row>
    <row r="74" spans="1:14" s="589" customFormat="1" ht="16.5" customHeight="1">
      <c r="A74" s="590" t="s">
        <v>35</v>
      </c>
      <c r="B74" s="591">
        <f>+'Tab. 6D - Oświata'!E82+'Tab. 6F - Kultura'!E15+'Tab. 6C - Ochrona zdrowia'!E22</f>
        <v>0</v>
      </c>
      <c r="C74" s="592">
        <f>+'Tab. 6D - Oświata'!F82+'Tab. 6F - Kultura'!F15+'Tab. 6C - Ochrona zdrowia'!F22</f>
        <v>22355</v>
      </c>
      <c r="D74" s="592">
        <f>+'Tab. 6D - Oświata'!G82+'Tab. 6F - Kultura'!G15+'Tab. 6C - Ochrona zdrowia'!G22</f>
        <v>11983650</v>
      </c>
      <c r="E74" s="592">
        <f>+'Tab. 6D - Oświata'!H82+'Tab. 6F - Kultura'!H15+'Tab. 6C - Ochrona zdrowia'!H22</f>
        <v>20400000</v>
      </c>
      <c r="F74" s="592">
        <f>+'Tab. 6D - Oświata'!I82+'Tab. 6F - Kultura'!I15+'Tab. 6C - Ochrona zdrowia'!I22</f>
        <v>11942500</v>
      </c>
      <c r="G74" s="592">
        <f>+'Tab. 6D - Oświata'!J82+'Tab. 6F - Kultura'!J15+'Tab. 6C - Ochrona zdrowia'!J22</f>
        <v>8500000</v>
      </c>
      <c r="H74" s="592">
        <f>+'Tab. 6D - Oświata'!K82+'Tab. 6F - Kultura'!K15+'Tab. 6C - Ochrona zdrowia'!K22</f>
        <v>10092500</v>
      </c>
      <c r="I74" s="591">
        <f>+'Tab. 6D - Oświata'!L82+'Tab. 6F - Kultura'!L15+'Tab. 6C - Ochrona zdrowia'!L22</f>
        <v>0</v>
      </c>
      <c r="J74" s="1562">
        <f>B74+C74+D74+E74+F74+G74+H74+I74</f>
        <v>62941005</v>
      </c>
      <c r="K74" s="1570">
        <v>0</v>
      </c>
      <c r="L74" s="586"/>
      <c r="M74" s="587">
        <f t="shared" si="25"/>
        <v>62941005</v>
      </c>
      <c r="N74" s="588">
        <f t="shared" si="20"/>
        <v>0</v>
      </c>
    </row>
    <row r="75" spans="1:14" s="1554" customFormat="1" ht="18" customHeight="1">
      <c r="A75" s="1550" t="s">
        <v>22</v>
      </c>
      <c r="B75" s="1326">
        <f>+B76+B82</f>
        <v>92837287</v>
      </c>
      <c r="C75" s="1326">
        <f t="shared" ref="C75:F75" si="28">+C76+C82</f>
        <v>79992676</v>
      </c>
      <c r="D75" s="1326">
        <f t="shared" si="28"/>
        <v>60581132</v>
      </c>
      <c r="E75" s="1326">
        <f t="shared" si="28"/>
        <v>93002945</v>
      </c>
      <c r="F75" s="1326">
        <f t="shared" si="28"/>
        <v>66382085</v>
      </c>
      <c r="G75" s="1326">
        <f t="shared" ref="G75:I75" si="29">+G76+G82</f>
        <v>50560800</v>
      </c>
      <c r="H75" s="1326">
        <f t="shared" si="29"/>
        <v>12329389</v>
      </c>
      <c r="I75" s="2189">
        <f t="shared" si="29"/>
        <v>0</v>
      </c>
      <c r="J75" s="1605">
        <f t="shared" ref="J75" si="30">+J76+J82</f>
        <v>455686314</v>
      </c>
      <c r="K75" s="3071" t="s">
        <v>23</v>
      </c>
      <c r="L75" s="1585"/>
    </row>
    <row r="76" spans="1:14" s="589" customFormat="1" ht="15" customHeight="1">
      <c r="A76" s="581" t="s">
        <v>24</v>
      </c>
      <c r="B76" s="1327">
        <f>SUM(B77:B81)</f>
        <v>92837287</v>
      </c>
      <c r="C76" s="1327">
        <f t="shared" ref="C76:F76" si="31">SUM(C77:C81)</f>
        <v>79970321</v>
      </c>
      <c r="D76" s="1327">
        <f t="shared" si="31"/>
        <v>48597482</v>
      </c>
      <c r="E76" s="1327">
        <f t="shared" si="31"/>
        <v>72602945</v>
      </c>
      <c r="F76" s="1327">
        <f t="shared" si="31"/>
        <v>54439585</v>
      </c>
      <c r="G76" s="1327">
        <f t="shared" ref="G76:I76" si="32">SUM(G77:G81)</f>
        <v>42060800</v>
      </c>
      <c r="H76" s="1327">
        <f t="shared" si="32"/>
        <v>2236889</v>
      </c>
      <c r="I76" s="1607">
        <f t="shared" si="32"/>
        <v>0</v>
      </c>
      <c r="J76" s="1573">
        <f>SUM(J77:J81)</f>
        <v>392745309</v>
      </c>
      <c r="K76" s="3069"/>
      <c r="L76" s="586" t="s">
        <v>269</v>
      </c>
    </row>
    <row r="77" spans="1:14" s="589" customFormat="1" ht="15.75" customHeight="1">
      <c r="A77" s="590" t="s">
        <v>13</v>
      </c>
      <c r="B77" s="1328">
        <f>+'Tab. 6C - Ochrona zdrowia'!E25+'Tab. 6A -Drogi'!E607</f>
        <v>27148284</v>
      </c>
      <c r="C77" s="283">
        <f>+'Tab. 6C - Ochrona zdrowia'!F25+'Tab. 6A -Drogi'!F607</f>
        <v>25729988</v>
      </c>
      <c r="D77" s="1606">
        <f>+'Tab. 6C - Ochrona zdrowia'!G25+'Tab. 6A -Drogi'!G607</f>
        <v>0</v>
      </c>
      <c r="E77" s="1606">
        <f>+'Tab. 6C - Ochrona zdrowia'!H25+'Tab. 6A -Drogi'!H607</f>
        <v>0</v>
      </c>
      <c r="F77" s="1606">
        <f>+'Tab. 6C - Ochrona zdrowia'!I25+'Tab. 6A -Drogi'!I607</f>
        <v>0</v>
      </c>
      <c r="G77" s="1606">
        <f>+'Tab. 6C - Ochrona zdrowia'!J25+'Tab. 6A -Drogi'!J607</f>
        <v>0</v>
      </c>
      <c r="H77" s="1606">
        <f>+'Tab. 6C - Ochrona zdrowia'!K25+'Tab. 6A -Drogi'!K607</f>
        <v>0</v>
      </c>
      <c r="I77" s="1606">
        <f>+'Tab. 6C - Ochrona zdrowia'!L25+'Tab. 6A -Drogi'!L607</f>
        <v>0</v>
      </c>
      <c r="J77" s="1562">
        <f>B77+C77+D77+E77+F77+G77+H77+I77</f>
        <v>52878272</v>
      </c>
      <c r="K77" s="3069"/>
      <c r="L77" s="586">
        <f>J77-J70</f>
        <v>0</v>
      </c>
    </row>
    <row r="78" spans="1:14" s="589" customFormat="1" ht="15" customHeight="1">
      <c r="A78" s="590" t="s">
        <v>15</v>
      </c>
      <c r="B78" s="1328">
        <f>+'Tab. 6A -Drogi'!E608+'Tab. 6C - Ochrona zdrowia'!E26</f>
        <v>13737991</v>
      </c>
      <c r="C78" s="283">
        <f>+'Tab. 6A -Drogi'!F608+'Tab. 6C - Ochrona zdrowia'!F26</f>
        <v>4243008</v>
      </c>
      <c r="D78" s="1606">
        <f>+'Tab. 6A -Drogi'!G608+'Tab. 6C - Ochrona zdrowia'!G26</f>
        <v>0</v>
      </c>
      <c r="E78" s="1606">
        <f>+'Tab. 6A -Drogi'!H608+'Tab. 6C - Ochrona zdrowia'!H26</f>
        <v>0</v>
      </c>
      <c r="F78" s="1606">
        <f>+'Tab. 6A -Drogi'!I608+'Tab. 6C - Ochrona zdrowia'!I26</f>
        <v>0</v>
      </c>
      <c r="G78" s="1606">
        <f>+'Tab. 6A -Drogi'!J608+'Tab. 6C - Ochrona zdrowia'!J26</f>
        <v>0</v>
      </c>
      <c r="H78" s="1606">
        <f>+'Tab. 6A -Drogi'!K608+'Tab. 6C - Ochrona zdrowia'!K26</f>
        <v>0</v>
      </c>
      <c r="I78" s="1606">
        <f>+'Tab. 6A -Drogi'!L608+'Tab. 6C - Ochrona zdrowia'!L26</f>
        <v>0</v>
      </c>
      <c r="J78" s="1562">
        <f>B78+C78+D78+E78+F78+G78+H78+I78</f>
        <v>17980999</v>
      </c>
      <c r="K78" s="3069"/>
      <c r="L78" s="586">
        <f>J78-J69</f>
        <v>0</v>
      </c>
    </row>
    <row r="79" spans="1:14" s="589" customFormat="1" ht="15" customHeight="1">
      <c r="A79" s="590" t="s">
        <v>16</v>
      </c>
      <c r="B79" s="1328">
        <f>+'Tab. 6A -Drogi'!E609+'Tab. 6G - Roln i ochrona środ.'!E193</f>
        <v>28772061</v>
      </c>
      <c r="C79" s="1328">
        <f>+'Tab. 6A -Drogi'!F609+'Tab. 6G - Roln i ochrona środ.'!F193</f>
        <v>8419285</v>
      </c>
      <c r="D79" s="1328">
        <f>+'Tab. 6A -Drogi'!G609+'Tab. 6G - Roln i ochrona środ.'!G193</f>
        <v>8419285</v>
      </c>
      <c r="E79" s="1328">
        <f>+'Tab. 6A -Drogi'!H609+'Tab. 6G - Roln i ochrona środ.'!H193</f>
        <v>8419285</v>
      </c>
      <c r="F79" s="1328">
        <f>+'Tab. 6A -Drogi'!I609+'Tab. 6G - Roln i ochrona środ.'!I193</f>
        <v>8419285</v>
      </c>
      <c r="G79" s="1574">
        <f>+'Tab. 6A -Drogi'!J609+'Tab. 6G - Roln i ochrona środ.'!J193</f>
        <v>0</v>
      </c>
      <c r="H79" s="1574">
        <f>+'Tab. 6A -Drogi'!K609+'Tab. 6G - Roln i ochrona środ.'!K193</f>
        <v>0</v>
      </c>
      <c r="I79" s="1574">
        <f>+'Tab. 6A -Drogi'!L609+'Tab. 6G - Roln i ochrona środ.'!L193</f>
        <v>0</v>
      </c>
      <c r="J79" s="1562">
        <f>B79+C79+D79+E79+F79+G79+H79+I79</f>
        <v>62449201</v>
      </c>
      <c r="K79" s="3069"/>
      <c r="L79" s="586">
        <f>J79-J66</f>
        <v>0</v>
      </c>
    </row>
    <row r="80" spans="1:14" s="589" customFormat="1" ht="27" customHeight="1">
      <c r="A80" s="1560" t="s">
        <v>235</v>
      </c>
      <c r="B80" s="1329">
        <f>+'Tab. 6F - Kultura'!E18+'Tab. 6D - Oświata'!E86+'Tab. 6A -Drogi'!E606</f>
        <v>23178951</v>
      </c>
      <c r="C80" s="1561">
        <f>+'Tab. 6F - Kultura'!F18+'Tab. 6D - Oświata'!F86+'Tab. 6A -Drogi'!F606</f>
        <v>13959800</v>
      </c>
      <c r="D80" s="1561">
        <f>+'Tab. 6F - Kultura'!G18+'Tab. 6D - Oświata'!G86+'Tab. 6A -Drogi'!G606</f>
        <v>21313957</v>
      </c>
      <c r="E80" s="1561">
        <f>+'Tab. 6F - Kultura'!H18+'Tab. 6D - Oświata'!H86+'Tab. 6A -Drogi'!H606</f>
        <v>27636300</v>
      </c>
      <c r="F80" s="1561">
        <f>+'Tab. 6F - Kultura'!I18+'Tab. 6D - Oświata'!I86+'Tab. 6A -Drogi'!I606</f>
        <v>25636300</v>
      </c>
      <c r="G80" s="1561">
        <f>+'Tab. 6F - Kultura'!J18+'Tab. 6D - Oświata'!J86+'Tab. 6A -Drogi'!J606</f>
        <v>2000000</v>
      </c>
      <c r="H80" s="1561">
        <f>+'Tab. 6F - Kultura'!K18+'Tab. 6D - Oświata'!K86+'Tab. 6A -Drogi'!K606</f>
        <v>1650729</v>
      </c>
      <c r="I80" s="1563">
        <f>+'Tab. 6F - Kultura'!L18+'Tab. 6D - Oświata'!L86+'Tab. 6A -Drogi'!L606</f>
        <v>0</v>
      </c>
      <c r="J80" s="1562">
        <f>B80+C80+D80+E80+F80+G80+H80+I80</f>
        <v>115376037</v>
      </c>
      <c r="K80" s="3069"/>
      <c r="L80" s="586"/>
    </row>
    <row r="81" spans="1:13" s="589" customFormat="1" ht="15" customHeight="1">
      <c r="A81" s="590" t="s">
        <v>14</v>
      </c>
      <c r="B81" s="1574">
        <f>+'Tab. 6G - Roln i ochrona środ.'!E192+'Tab. 6E - Administracja'!E283</f>
        <v>0</v>
      </c>
      <c r="C81" s="1561">
        <f>+'Tab. 6G - Roln i ochrona środ.'!F192</f>
        <v>27618240</v>
      </c>
      <c r="D81" s="1561">
        <f>+'Tab. 6G - Roln i ochrona środ.'!G192</f>
        <v>18864240</v>
      </c>
      <c r="E81" s="1561">
        <f>+'Tab. 6G - Roln i ochrona środ.'!H192</f>
        <v>36547360</v>
      </c>
      <c r="F81" s="1561">
        <f>+'Tab. 6G - Roln i ochrona środ.'!I192</f>
        <v>20384000</v>
      </c>
      <c r="G81" s="1561">
        <f>+'Tab. 6G - Roln i ochrona środ.'!J192</f>
        <v>40060800</v>
      </c>
      <c r="H81" s="1561">
        <f>+'Tab. 6G - Roln i ochrona środ.'!K192</f>
        <v>586160</v>
      </c>
      <c r="I81" s="1606">
        <f>+'Tab. 6G - Roln i ochrona środ.'!L192</f>
        <v>0</v>
      </c>
      <c r="J81" s="1562">
        <f>B81+C81+D81+E81+F81+G81+H81+I81</f>
        <v>144060800</v>
      </c>
      <c r="K81" s="3069"/>
      <c r="L81" s="586">
        <f>J81-J72</f>
        <v>0</v>
      </c>
    </row>
    <row r="82" spans="1:13" s="589" customFormat="1" ht="14.25" customHeight="1">
      <c r="A82" s="581" t="s">
        <v>18</v>
      </c>
      <c r="B82" s="1608">
        <f t="shared" ref="B82:I82" si="33">SUM(B83:B83)</f>
        <v>0</v>
      </c>
      <c r="C82" s="1330">
        <f t="shared" si="33"/>
        <v>22355</v>
      </c>
      <c r="D82" s="1330">
        <f t="shared" si="33"/>
        <v>11983650</v>
      </c>
      <c r="E82" s="1330">
        <f t="shared" si="33"/>
        <v>20400000</v>
      </c>
      <c r="F82" s="1330">
        <f t="shared" si="33"/>
        <v>11942500</v>
      </c>
      <c r="G82" s="1330">
        <f t="shared" si="33"/>
        <v>8500000</v>
      </c>
      <c r="H82" s="1330">
        <f t="shared" si="33"/>
        <v>10092500</v>
      </c>
      <c r="I82" s="1608">
        <f t="shared" si="33"/>
        <v>0</v>
      </c>
      <c r="J82" s="1609">
        <f>+J83</f>
        <v>62941005</v>
      </c>
      <c r="K82" s="3069"/>
      <c r="L82" s="586"/>
    </row>
    <row r="83" spans="1:13" s="589" customFormat="1" ht="15.75" customHeight="1" thickBot="1">
      <c r="A83" s="1610" t="s">
        <v>35</v>
      </c>
      <c r="B83" s="2188">
        <f>+'Tab. 6D - Oświata'!E88+'Tab. 6F - Kultura'!E20+'Tab. 6C - Ochrona zdrowia'!E28</f>
        <v>0</v>
      </c>
      <c r="C83" s="2190">
        <f>+'Tab. 6D - Oświata'!F88+'Tab. 6F - Kultura'!F20+'Tab. 6C - Ochrona zdrowia'!F28</f>
        <v>22355</v>
      </c>
      <c r="D83" s="1612">
        <f>+'Tab. 6D - Oświata'!G88+'Tab. 6F - Kultura'!G20+'Tab. 6C - Ochrona zdrowia'!G28</f>
        <v>11983650</v>
      </c>
      <c r="E83" s="1612">
        <f>+'Tab. 6D - Oświata'!H88+'Tab. 6F - Kultura'!H20+'Tab. 6C - Ochrona zdrowia'!H28</f>
        <v>20400000</v>
      </c>
      <c r="F83" s="1612">
        <f>+'Tab. 6D - Oświata'!I88+'Tab. 6F - Kultura'!I20+'Tab. 6C - Ochrona zdrowia'!I28</f>
        <v>11942500</v>
      </c>
      <c r="G83" s="1612">
        <f>+'Tab. 6D - Oświata'!J88+'Tab. 6F - Kultura'!J20+'Tab. 6C - Ochrona zdrowia'!J28</f>
        <v>8500000</v>
      </c>
      <c r="H83" s="1612">
        <f>+'Tab. 6D - Oświata'!K88+'Tab. 6F - Kultura'!K20+'Tab. 6C - Ochrona zdrowia'!K28</f>
        <v>10092500</v>
      </c>
      <c r="I83" s="1611">
        <f>+'Tab. 6D - Oświata'!L88+'Tab. 6F - Kultura'!L20+'Tab. 6C - Ochrona zdrowia'!L28</f>
        <v>0</v>
      </c>
      <c r="J83" s="1613">
        <f>B83+C83+D83+E83+F83+G83+H83+I83</f>
        <v>62941005</v>
      </c>
      <c r="K83" s="3070"/>
      <c r="L83" s="586"/>
      <c r="M83" s="1575"/>
    </row>
    <row r="84" spans="1:13" s="589" customFormat="1" ht="9.75" customHeight="1" thickBot="1">
      <c r="A84" s="1590"/>
      <c r="B84" s="1549"/>
      <c r="C84" s="1549"/>
      <c r="D84" s="1549"/>
      <c r="E84" s="1549"/>
      <c r="F84" s="1549"/>
      <c r="G84" s="1578"/>
      <c r="H84" s="1577"/>
      <c r="I84" s="1577"/>
      <c r="J84" s="1580"/>
      <c r="K84" s="1580"/>
      <c r="L84" s="586"/>
    </row>
    <row r="85" spans="1:13" s="1554" customFormat="1" ht="18" customHeight="1" thickBot="1">
      <c r="A85" s="1614" t="s">
        <v>27</v>
      </c>
      <c r="B85" s="1615">
        <f>+B63-B71-B73-B67</f>
        <v>466299215</v>
      </c>
      <c r="C85" s="1615">
        <f t="shared" ref="C85:D85" si="34">+C63-C71-C73-C67</f>
        <v>215973356</v>
      </c>
      <c r="D85" s="1616">
        <f t="shared" si="34"/>
        <v>237051967</v>
      </c>
      <c r="E85" s="1616">
        <f>+E63-E71-E73-E67</f>
        <v>245491388</v>
      </c>
      <c r="F85" s="1616">
        <f>+F63-F71-F73-F67</f>
        <v>209807870</v>
      </c>
      <c r="G85" s="1616">
        <f>+G63-G71-G73-G67</f>
        <v>52896082</v>
      </c>
      <c r="H85" s="1615">
        <f>+H63-H71-H73-H67</f>
        <v>7257957</v>
      </c>
      <c r="I85" s="1615">
        <f>+I63-I71-I73-I67</f>
        <v>4270868</v>
      </c>
      <c r="J85" s="1617">
        <f>SUM(C85:I85)+B85+'Tab. 6C - Ochrona zdrowia'!O130+'Tab. 6C - Ochrona zdrowia'!O135</f>
        <v>1439048703</v>
      </c>
      <c r="K85" s="1618">
        <f>+C85+D85+E85+F85+G85+H85+I85+'Tab. 6C - Ochrona zdrowia'!O130+'Tab. 6C - Ochrona zdrowia'!O135</f>
        <v>972749488</v>
      </c>
      <c r="L85" s="1585">
        <f>+C85+D85+E85+F85+G85+H85+I85+L86-K85</f>
        <v>0</v>
      </c>
      <c r="M85" s="1586">
        <f>J65+J66+J68+J69+J70+J72-J85</f>
        <v>0</v>
      </c>
    </row>
    <row r="86" spans="1:13" s="1554" customFormat="1" ht="18" customHeight="1" thickBot="1">
      <c r="A86" s="1614" t="s">
        <v>28</v>
      </c>
      <c r="B86" s="1619">
        <f>+B75-B82</f>
        <v>92837287</v>
      </c>
      <c r="C86" s="1619">
        <f t="shared" ref="C86:I86" si="35">+C75-C82</f>
        <v>79970321</v>
      </c>
      <c r="D86" s="1620">
        <f t="shared" si="35"/>
        <v>48597482</v>
      </c>
      <c r="E86" s="1620">
        <f t="shared" si="35"/>
        <v>72602945</v>
      </c>
      <c r="F86" s="1620">
        <f t="shared" si="35"/>
        <v>54439585</v>
      </c>
      <c r="G86" s="1620">
        <f t="shared" si="35"/>
        <v>42060800</v>
      </c>
      <c r="H86" s="1619">
        <f t="shared" si="35"/>
        <v>2236889</v>
      </c>
      <c r="I86" s="1619">
        <f t="shared" si="35"/>
        <v>0</v>
      </c>
      <c r="J86" s="1617">
        <f>SUM(C86:I86)+B86</f>
        <v>392745309</v>
      </c>
      <c r="K86" s="1621" t="s">
        <v>23</v>
      </c>
      <c r="L86" s="1585">
        <f>'Tab. 6C - Ochrona zdrowia'!O120+'Tab. 6C - Ochrona zdrowia'!O130+'Tab. 6C - Ochrona zdrowia'!O135</f>
        <v>0</v>
      </c>
      <c r="M86" s="1554" t="s">
        <v>497</v>
      </c>
    </row>
    <row r="87" spans="1:13" s="1625" customFormat="1" ht="15" customHeight="1" thickBot="1">
      <c r="A87" s="1622"/>
      <c r="B87" s="1623"/>
      <c r="C87" s="1623"/>
      <c r="D87" s="1623"/>
      <c r="E87" s="1623"/>
      <c r="F87" s="1623"/>
      <c r="G87" s="1623"/>
      <c r="H87" s="1623"/>
      <c r="I87" s="1623"/>
      <c r="J87" s="1623"/>
      <c r="K87" s="1623"/>
      <c r="L87" s="1624"/>
    </row>
    <row r="88" spans="1:13" s="1625" customFormat="1" ht="18" customHeight="1" thickBot="1">
      <c r="A88" s="1626" t="s">
        <v>36</v>
      </c>
      <c r="B88" s="1627">
        <f>B89+B90</f>
        <v>715406040</v>
      </c>
      <c r="C88" s="1627">
        <f t="shared" ref="C88:D88" si="36">C89+C90</f>
        <v>545283095</v>
      </c>
      <c r="D88" s="1627">
        <f t="shared" si="36"/>
        <v>759721934</v>
      </c>
      <c r="E88" s="1627">
        <f t="shared" ref="E88:K88" si="37">E89+E90</f>
        <v>363258532</v>
      </c>
      <c r="F88" s="1627">
        <f t="shared" si="37"/>
        <v>283163936</v>
      </c>
      <c r="G88" s="1627">
        <f t="shared" si="37"/>
        <v>92643497</v>
      </c>
      <c r="H88" s="1627">
        <f t="shared" si="37"/>
        <v>44860247</v>
      </c>
      <c r="I88" s="1627">
        <f t="shared" si="37"/>
        <v>39747892</v>
      </c>
      <c r="J88" s="1628">
        <f t="shared" si="37"/>
        <v>2844085173</v>
      </c>
      <c r="K88" s="1629">
        <f t="shared" si="37"/>
        <v>2128679133</v>
      </c>
      <c r="L88" s="1624"/>
    </row>
    <row r="89" spans="1:13" s="1625" customFormat="1" ht="18" customHeight="1" thickTop="1">
      <c r="A89" s="1630" t="s">
        <v>37</v>
      </c>
      <c r="B89" s="1631">
        <f t="shared" ref="B89:K89" si="38">B13+B60</f>
        <v>407130312</v>
      </c>
      <c r="C89" s="1631">
        <f t="shared" si="38"/>
        <v>199601334</v>
      </c>
      <c r="D89" s="1631">
        <f t="shared" si="38"/>
        <v>222159845</v>
      </c>
      <c r="E89" s="1631">
        <f>E13+E60</f>
        <v>203508683</v>
      </c>
      <c r="F89" s="1631">
        <f t="shared" si="38"/>
        <v>192597281</v>
      </c>
      <c r="G89" s="1631">
        <f t="shared" si="38"/>
        <v>48854317</v>
      </c>
      <c r="H89" s="1631">
        <f t="shared" si="38"/>
        <v>42640342</v>
      </c>
      <c r="I89" s="1631">
        <f t="shared" si="38"/>
        <v>39586392</v>
      </c>
      <c r="J89" s="1632">
        <f>J13+J60</f>
        <v>1356078506</v>
      </c>
      <c r="K89" s="1633">
        <f t="shared" si="38"/>
        <v>948948194</v>
      </c>
      <c r="L89" s="1624"/>
    </row>
    <row r="90" spans="1:13" s="1625" customFormat="1" ht="18" customHeight="1">
      <c r="A90" s="1630" t="s">
        <v>38</v>
      </c>
      <c r="B90" s="1631">
        <f t="shared" ref="B90:K90" si="39">B14+B61</f>
        <v>308275728</v>
      </c>
      <c r="C90" s="1631">
        <f t="shared" si="39"/>
        <v>345681761</v>
      </c>
      <c r="D90" s="1631">
        <f t="shared" si="39"/>
        <v>537562089</v>
      </c>
      <c r="E90" s="1631">
        <f t="shared" si="39"/>
        <v>159749849</v>
      </c>
      <c r="F90" s="1631">
        <f t="shared" si="39"/>
        <v>90566655</v>
      </c>
      <c r="G90" s="1631">
        <f t="shared" si="39"/>
        <v>43789180</v>
      </c>
      <c r="H90" s="1631">
        <f t="shared" si="39"/>
        <v>2219905</v>
      </c>
      <c r="I90" s="1631">
        <f t="shared" si="39"/>
        <v>161500</v>
      </c>
      <c r="J90" s="1632">
        <f>J14+J61</f>
        <v>1488006667</v>
      </c>
      <c r="K90" s="1633">
        <f t="shared" si="39"/>
        <v>1179730939</v>
      </c>
      <c r="L90" s="1624"/>
    </row>
    <row r="91" spans="1:13" s="1625" customFormat="1" ht="18" customHeight="1" thickBot="1">
      <c r="A91" s="1634" t="s">
        <v>39</v>
      </c>
      <c r="B91" s="1635">
        <f>B49+B86</f>
        <v>309501515</v>
      </c>
      <c r="C91" s="1635">
        <f t="shared" ref="C91:D91" si="40">C49+C86</f>
        <v>340623747.69999999</v>
      </c>
      <c r="D91" s="1635">
        <f t="shared" si="40"/>
        <v>495989258</v>
      </c>
      <c r="E91" s="1635">
        <f t="shared" ref="E91:I91" si="41">E49+E86</f>
        <v>183950885</v>
      </c>
      <c r="F91" s="1635">
        <f t="shared" si="41"/>
        <v>113846182</v>
      </c>
      <c r="G91" s="1635">
        <f t="shared" si="41"/>
        <v>75818447</v>
      </c>
      <c r="H91" s="1635">
        <f t="shared" si="41"/>
        <v>35438612</v>
      </c>
      <c r="I91" s="1635">
        <f t="shared" si="41"/>
        <v>31488520</v>
      </c>
      <c r="J91" s="1635">
        <f>J49+J86</f>
        <v>1588686601.6999998</v>
      </c>
      <c r="K91" s="1636" t="s">
        <v>23</v>
      </c>
      <c r="L91" s="1624">
        <f>'Tab. 6A -Drogi'!D22+'Tab. 6A -Drogi'!D604+'Tab. 6B Polit społ i rozwój prz'!D17+'Tab. 6C - Ochrona zdrowia'!D24+'Tab. 6D - Oświata'!D18+'Tab. 6E - Administracja'!D20+'Tab. 6E - Administracja'!D265+'Tab. 6F - Kultura'!D18+'Tab. 6G - Roln i ochrona środ.'!D22+'Tab. 6G - Roln i ochrona środ.'!D188+'Tab. 6H - Kultura fiz. i turyst'!D17+'Tab.6I - Planow. przestrz.'!D18</f>
        <v>1588686601.7</v>
      </c>
      <c r="M91" s="1625" t="s">
        <v>270</v>
      </c>
    </row>
    <row r="92" spans="1:13" s="1625" customFormat="1" ht="18.75" customHeight="1" thickTop="1">
      <c r="A92" s="1630" t="s">
        <v>40</v>
      </c>
      <c r="B92" s="1631">
        <f>B98+B102</f>
        <v>89454124</v>
      </c>
      <c r="C92" s="1631">
        <f t="shared" ref="C92:D93" si="42">C98+C102</f>
        <v>102509927.7</v>
      </c>
      <c r="D92" s="1631">
        <f t="shared" si="42"/>
        <v>78939024</v>
      </c>
      <c r="E92" s="1631">
        <f t="shared" ref="E92:I93" si="43">E98+E102</f>
        <v>73063011</v>
      </c>
      <c r="F92" s="1631">
        <f t="shared" si="43"/>
        <v>67542030</v>
      </c>
      <c r="G92" s="1631">
        <f t="shared" si="43"/>
        <v>33596147</v>
      </c>
      <c r="H92" s="1631">
        <f t="shared" si="43"/>
        <v>33040223</v>
      </c>
      <c r="I92" s="1631">
        <f t="shared" si="43"/>
        <v>31327020</v>
      </c>
      <c r="J92" s="1631">
        <f>J98+J102</f>
        <v>511500941.69999999</v>
      </c>
      <c r="K92" s="1637" t="s">
        <v>23</v>
      </c>
      <c r="L92" s="1624">
        <f>J91-L91</f>
        <v>0</v>
      </c>
      <c r="M92" s="1638"/>
    </row>
    <row r="93" spans="1:13" s="1625" customFormat="1" ht="16.5" customHeight="1" thickBot="1">
      <c r="A93" s="1639" t="s">
        <v>41</v>
      </c>
      <c r="B93" s="1640">
        <f>B99+B103</f>
        <v>220047391</v>
      </c>
      <c r="C93" s="1640">
        <f t="shared" si="42"/>
        <v>238113820</v>
      </c>
      <c r="D93" s="1640">
        <f t="shared" si="42"/>
        <v>417050234</v>
      </c>
      <c r="E93" s="1640">
        <f t="shared" si="43"/>
        <v>110887874</v>
      </c>
      <c r="F93" s="1640">
        <f t="shared" si="43"/>
        <v>46304152</v>
      </c>
      <c r="G93" s="1640">
        <f t="shared" si="43"/>
        <v>42222300</v>
      </c>
      <c r="H93" s="1640">
        <f t="shared" si="43"/>
        <v>2398389</v>
      </c>
      <c r="I93" s="1640">
        <f t="shared" si="43"/>
        <v>161500</v>
      </c>
      <c r="J93" s="1640">
        <f>J99+J103</f>
        <v>1077185660</v>
      </c>
      <c r="K93" s="1641" t="s">
        <v>23</v>
      </c>
      <c r="L93" s="1624">
        <f>L91-J97-J101</f>
        <v>0</v>
      </c>
    </row>
    <row r="94" spans="1:13" s="1625" customFormat="1" ht="18" hidden="1" customHeight="1">
      <c r="A94" s="1642" t="s">
        <v>42</v>
      </c>
      <c r="B94" s="1643">
        <f>B92+B93-B91</f>
        <v>0</v>
      </c>
      <c r="C94" s="1643">
        <f t="shared" ref="C94:I94" si="44">C92+C93-C91</f>
        <v>0</v>
      </c>
      <c r="D94" s="1643">
        <f t="shared" si="44"/>
        <v>0</v>
      </c>
      <c r="E94" s="1643">
        <f t="shared" si="44"/>
        <v>0</v>
      </c>
      <c r="F94" s="1643">
        <f t="shared" si="44"/>
        <v>0</v>
      </c>
      <c r="G94" s="1643">
        <f t="shared" si="44"/>
        <v>0</v>
      </c>
      <c r="H94" s="1643">
        <f t="shared" si="44"/>
        <v>0</v>
      </c>
      <c r="I94" s="1643">
        <f t="shared" si="44"/>
        <v>0</v>
      </c>
      <c r="J94" s="1643">
        <f>J92+J93-J91</f>
        <v>0</v>
      </c>
      <c r="K94" s="1624"/>
      <c r="L94" s="1624"/>
      <c r="M94" s="1638"/>
    </row>
    <row r="95" spans="1:13" s="1625" customFormat="1" ht="11.25" hidden="1" customHeight="1">
      <c r="A95" s="1644"/>
      <c r="B95" s="1643"/>
      <c r="C95" s="1643"/>
      <c r="D95" s="1643"/>
      <c r="E95" s="1643"/>
      <c r="F95" s="1643"/>
      <c r="G95" s="1643"/>
      <c r="H95" s="1643"/>
      <c r="I95" s="1643"/>
      <c r="J95" s="1643"/>
      <c r="K95" s="1624"/>
      <c r="L95" s="1624"/>
    </row>
    <row r="96" spans="1:13" s="1625" customFormat="1" ht="18" hidden="1" customHeight="1" thickBot="1">
      <c r="A96" s="1645" t="s">
        <v>43</v>
      </c>
      <c r="B96" s="1646">
        <f>B32-B97</f>
        <v>0</v>
      </c>
      <c r="C96" s="1646">
        <f t="shared" ref="C96:D96" si="45">C32-C97</f>
        <v>0</v>
      </c>
      <c r="D96" s="1646">
        <f t="shared" si="45"/>
        <v>0</v>
      </c>
      <c r="E96" s="1646">
        <f>E32-E97</f>
        <v>0</v>
      </c>
      <c r="F96" s="1646">
        <f>F32-F97</f>
        <v>0</v>
      </c>
      <c r="G96" s="1646">
        <f>G32-G97</f>
        <v>0</v>
      </c>
      <c r="H96" s="1646">
        <f>H32-H97</f>
        <v>0</v>
      </c>
      <c r="I96" s="1646">
        <f>I32-I97</f>
        <v>0</v>
      </c>
      <c r="J96" s="1646">
        <f>+J97+J101</f>
        <v>1588686601.7</v>
      </c>
      <c r="K96" s="1624"/>
      <c r="L96" s="1624"/>
      <c r="M96" s="1638">
        <f>L97+L101-L91</f>
        <v>0</v>
      </c>
    </row>
    <row r="97" spans="1:14" s="1625" customFormat="1" ht="18" hidden="1" customHeight="1" thickBot="1">
      <c r="A97" s="1647" t="s">
        <v>44</v>
      </c>
      <c r="B97" s="1648">
        <f t="shared" ref="B97:D97" si="46">B98+B99</f>
        <v>216664228</v>
      </c>
      <c r="C97" s="1648">
        <f t="shared" si="46"/>
        <v>260653426.69999999</v>
      </c>
      <c r="D97" s="1648">
        <f t="shared" si="46"/>
        <v>447391776</v>
      </c>
      <c r="E97" s="1648">
        <f t="shared" ref="E97:M97" si="47">E98+E99</f>
        <v>111347940</v>
      </c>
      <c r="F97" s="1648">
        <f t="shared" si="47"/>
        <v>59406597</v>
      </c>
      <c r="G97" s="1648">
        <f t="shared" si="47"/>
        <v>33757647</v>
      </c>
      <c r="H97" s="1648">
        <f t="shared" si="47"/>
        <v>33201723</v>
      </c>
      <c r="I97" s="1648">
        <f t="shared" si="47"/>
        <v>31488520</v>
      </c>
      <c r="J97" s="1649">
        <f t="shared" si="47"/>
        <v>1195941292.7</v>
      </c>
      <c r="K97" s="1624"/>
      <c r="L97" s="1649">
        <f t="shared" si="47"/>
        <v>1195941292.7</v>
      </c>
      <c r="M97" s="1649">
        <f t="shared" si="47"/>
        <v>0</v>
      </c>
      <c r="N97" s="2033" t="s">
        <v>490</v>
      </c>
    </row>
    <row r="98" spans="1:14" s="1625" customFormat="1" ht="20.25" hidden="1" customHeight="1" thickTop="1">
      <c r="A98" s="1650" t="s">
        <v>40</v>
      </c>
      <c r="B98" s="1651">
        <f>'Tab. 6A -Drogi'!E747+'Tab. 6B Polit społ i rozwój prz'!E271+'Tab. 6D - Oświata'!E116+'Tab. 6E - Administracja'!E287+'Tab. 6G - Roln i ochrona środ.'!E217+'Tab. 6H - Kultura fiz. i turyst'!E283+'Tab.6I - Planow. przestrz.'!E104</f>
        <v>32809348</v>
      </c>
      <c r="C98" s="1651">
        <f>'Tab. 6A -Drogi'!F747+'Tab. 6B Polit społ i rozwój prz'!F271+'Tab. 6D - Oświata'!F116+'Tab. 6E - Administracja'!F287+'Tab. 6G - Roln i ochrona środ.'!F217+'Tab. 6H - Kultura fiz. i turyst'!F283+'Tab.6I - Planow. przestrz.'!F104</f>
        <v>55234843.700000003</v>
      </c>
      <c r="D98" s="1651">
        <f>'Tab. 6A -Drogi'!G747+'Tab. 6B Polit społ i rozwój prz'!G271+'Tab. 6D - Oświata'!G116+'Tab. 6E - Administracja'!G287+'Tab. 6G - Roln i ochrona środ.'!G217+'Tab. 6H - Kultura fiz. i turyst'!G283+'Tab.6I - Planow. przestrz.'!G104</f>
        <v>51061439</v>
      </c>
      <c r="E98" s="1651">
        <f>'Tab. 6A -Drogi'!H747+'Tab. 6B Polit społ i rozwój prz'!H271+'Tab. 6D - Oświata'!H116+'Tab. 6E - Administracja'!H287+'Tab. 6G - Roln i ochrona środ.'!H217+'Tab. 6H - Kultura fiz. i turyst'!H283+'Tab.6I - Planow. przestrz.'!H104</f>
        <v>43007426</v>
      </c>
      <c r="F98" s="1651">
        <f>'Tab. 6A -Drogi'!I747+'Tab. 6B Polit społ i rozwój prz'!I271+'Tab. 6D - Oświata'!I116+'Tab. 6E - Administracja'!I287+'Tab. 6G - Roln i ochrona środ.'!I217+'Tab. 6H - Kultura fiz. i turyst'!I283+'Tab.6I - Planow. przestrz.'!I104</f>
        <v>37486445</v>
      </c>
      <c r="G98" s="1651">
        <f>'Tab. 6A -Drogi'!J747+'Tab. 6B Polit społ i rozwój prz'!J271+'Tab. 6D - Oświata'!J116+'Tab. 6E - Administracja'!J287+'Tab. 6G - Roln i ochrona środ.'!J217+'Tab. 6H - Kultura fiz. i turyst'!J283+'Tab.6I - Planow. przestrz.'!J104</f>
        <v>33596147</v>
      </c>
      <c r="H98" s="1651">
        <f>'Tab. 6A -Drogi'!K747+'Tab. 6B Polit społ i rozwój prz'!K271+'Tab. 6D - Oświata'!K116+'Tab. 6E - Administracja'!K287+'Tab. 6G - Roln i ochrona środ.'!K217+'Tab. 6H - Kultura fiz. i turyst'!K283+'Tab.6I - Planow. przestrz.'!K104</f>
        <v>33040223</v>
      </c>
      <c r="I98" s="1651">
        <f>'Tab. 6A -Drogi'!L747+'Tab. 6B Polit społ i rozwój prz'!L271+'Tab. 6D - Oświata'!L116+'Tab. 6E - Administracja'!L287+'Tab. 6G - Roln i ochrona środ.'!L217+'Tab. 6H - Kultura fiz. i turyst'!L283+'Tab.6I - Planow. przestrz.'!L104</f>
        <v>31327020</v>
      </c>
      <c r="J98" s="1652">
        <f>B98+C98+D98+E98+F98+G98+H98+I98+2029435</f>
        <v>319592326.69999999</v>
      </c>
      <c r="K98" s="1624"/>
      <c r="L98" s="2034">
        <f>'Tab. 6A -Drogi'!D747+'Tab. 6B Polit społ i rozwój prz'!D271+'Tab. 6D - Oświata'!D116+'Tab. 6E - Administracja'!D287+'Tab. 6G - Roln i ochrona środ.'!D217+'Tab. 6H - Kultura fiz. i turyst'!D283+'Tab.6I - Planow. przestrz.'!D104</f>
        <v>319592326.69999999</v>
      </c>
      <c r="M98" s="2035">
        <f>J98-L98</f>
        <v>0</v>
      </c>
      <c r="N98" s="2035"/>
    </row>
    <row r="99" spans="1:14" s="1625" customFormat="1" ht="18" hidden="1" customHeight="1">
      <c r="A99" s="1650" t="s">
        <v>41</v>
      </c>
      <c r="B99" s="1651">
        <f>'Tab. 6A -Drogi'!E748+'Tab. 6B Polit społ i rozwój prz'!E272+'Tab. 6D - Oświata'!E117+'Tab. 6E - Administracja'!E288+'Tab. 6G - Roln i ochrona środ.'!E218+'Tab. 6H - Kultura fiz. i turyst'!E284+'Tab.6I - Planow. przestrz.'!E105</f>
        <v>183854880</v>
      </c>
      <c r="C99" s="1651">
        <f>'Tab. 6A -Drogi'!F748+'Tab. 6B Polit społ i rozwój prz'!F272+'Tab. 6D - Oświata'!F117+'Tab. 6E - Administracja'!F288+'Tab. 6G - Roln i ochrona środ.'!F218+'Tab. 6H - Kultura fiz. i turyst'!F284+'Tab.6I - Planow. przestrz.'!F105</f>
        <v>205418583</v>
      </c>
      <c r="D99" s="1651">
        <f>'Tab. 6A -Drogi'!G748+'Tab. 6B Polit społ i rozwój prz'!G272+'Tab. 6D - Oświata'!G117+'Tab. 6E - Administracja'!G288+'Tab. 6G - Roln i ochrona środ.'!G218+'Tab. 6H - Kultura fiz. i turyst'!G284+'Tab.6I - Planow. przestrz.'!G105</f>
        <v>396330337</v>
      </c>
      <c r="E99" s="1651">
        <f>'Tab. 6A -Drogi'!H748+'Tab. 6B Polit społ i rozwój prz'!H272+'Tab. 6D - Oświata'!H117+'Tab. 6E - Administracja'!H288+'Tab. 6G - Roln i ochrona środ.'!H218+'Tab. 6H - Kultura fiz. i turyst'!H284+'Tab.6I - Planow. przestrz.'!H105</f>
        <v>68340514</v>
      </c>
      <c r="F99" s="1651">
        <f>'Tab. 6A -Drogi'!I748+'Tab. 6B Polit społ i rozwój prz'!I272+'Tab. 6D - Oświata'!I117+'Tab. 6E - Administracja'!I288+'Tab. 6G - Roln i ochrona środ.'!I218+'Tab. 6H - Kultura fiz. i turyst'!I284+'Tab.6I - Planow. przestrz.'!I105</f>
        <v>21920152</v>
      </c>
      <c r="G99" s="1651">
        <f>'Tab. 6A -Drogi'!J748+'Tab. 6B Polit społ i rozwój prz'!J272+'Tab. 6D - Oświata'!J117+'Tab. 6E - Administracja'!J288+'Tab. 6G - Roln i ochrona środ.'!J218+'Tab. 6H - Kultura fiz. i turyst'!J284+'Tab.6I - Planow. przestrz.'!J105</f>
        <v>161500</v>
      </c>
      <c r="H99" s="1651">
        <f>'Tab. 6A -Drogi'!K748+'Tab. 6B Polit społ i rozwój prz'!K272+'Tab. 6D - Oświata'!K117+'Tab. 6E - Administracja'!K288+'Tab. 6G - Roln i ochrona środ.'!K218+'Tab. 6H - Kultura fiz. i turyst'!K284+'Tab.6I - Planow. przestrz.'!K105</f>
        <v>161500</v>
      </c>
      <c r="I99" s="1651">
        <f>'Tab. 6A -Drogi'!L748+'Tab. 6B Polit społ i rozwój prz'!L272+'Tab. 6D - Oświata'!L117+'Tab. 6E - Administracja'!L288+'Tab. 6G - Roln i ochrona środ.'!L218+'Tab. 6H - Kultura fiz. i turyst'!L284+'Tab.6I - Planow. przestrz.'!L105</f>
        <v>161500</v>
      </c>
      <c r="J99" s="1652">
        <f>B99+C99+D99+E99+F99+G99+H99+I99</f>
        <v>876348966</v>
      </c>
      <c r="K99" s="1624"/>
      <c r="L99" s="2034">
        <f>'Tab. 6A -Drogi'!D748+'Tab. 6B Polit społ i rozwój prz'!D272+'Tab. 6E - Administracja'!D288+'Tab. 6G - Roln i ochrona środ.'!D218+'Tab. 6H - Kultura fiz. i turyst'!D284+'Tab.6I - Planow. przestrz.'!D105</f>
        <v>876348966</v>
      </c>
      <c r="M99" s="2035">
        <f>J99-L99</f>
        <v>0</v>
      </c>
      <c r="N99" s="2033"/>
    </row>
    <row r="100" spans="1:14" s="1625" customFormat="1" ht="24" hidden="1" customHeight="1" thickBot="1">
      <c r="A100" s="1645" t="s">
        <v>45</v>
      </c>
      <c r="B100" s="1646">
        <f t="shared" ref="B100:J100" si="48">B86-B101</f>
        <v>0</v>
      </c>
      <c r="C100" s="1646">
        <f>C86-C101</f>
        <v>0</v>
      </c>
      <c r="D100" s="1646">
        <f t="shared" si="48"/>
        <v>0</v>
      </c>
      <c r="E100" s="1646">
        <f t="shared" si="48"/>
        <v>0</v>
      </c>
      <c r="F100" s="1646">
        <f t="shared" si="48"/>
        <v>0</v>
      </c>
      <c r="G100" s="1646">
        <f t="shared" si="48"/>
        <v>0</v>
      </c>
      <c r="H100" s="1646">
        <f t="shared" si="48"/>
        <v>0</v>
      </c>
      <c r="I100" s="1646">
        <f t="shared" si="48"/>
        <v>0</v>
      </c>
      <c r="J100" s="1646">
        <f t="shared" si="48"/>
        <v>0</v>
      </c>
      <c r="K100" s="1624"/>
      <c r="L100" s="2034"/>
      <c r="M100" s="2033"/>
      <c r="N100" s="2033"/>
    </row>
    <row r="101" spans="1:14" s="1625" customFormat="1" ht="19.5" hidden="1" customHeight="1" thickBot="1">
      <c r="A101" s="1647" t="s">
        <v>44</v>
      </c>
      <c r="B101" s="1648">
        <f>B102+B103</f>
        <v>92837287</v>
      </c>
      <c r="C101" s="1648">
        <f t="shared" ref="C101:J101" si="49">C102+C103</f>
        <v>79970321</v>
      </c>
      <c r="D101" s="1648">
        <f t="shared" si="49"/>
        <v>48597482</v>
      </c>
      <c r="E101" s="1648">
        <f t="shared" si="49"/>
        <v>72602945</v>
      </c>
      <c r="F101" s="1648">
        <f t="shared" si="49"/>
        <v>54439585</v>
      </c>
      <c r="G101" s="1648">
        <f t="shared" si="49"/>
        <v>42060800</v>
      </c>
      <c r="H101" s="1648">
        <f>H102+H103</f>
        <v>2236889</v>
      </c>
      <c r="I101" s="1648">
        <f>I102+I103</f>
        <v>0</v>
      </c>
      <c r="J101" s="1649">
        <f t="shared" si="49"/>
        <v>392745309</v>
      </c>
      <c r="K101" s="1624"/>
      <c r="L101" s="1649">
        <f t="shared" ref="L101:M101" si="50">L102+L103</f>
        <v>392745309</v>
      </c>
      <c r="M101" s="1649">
        <f t="shared" si="50"/>
        <v>0</v>
      </c>
      <c r="N101" s="2033" t="s">
        <v>490</v>
      </c>
    </row>
    <row r="102" spans="1:14" s="1625" customFormat="1" ht="18" hidden="1" customHeight="1" thickTop="1">
      <c r="A102" s="1650" t="s">
        <v>40</v>
      </c>
      <c r="B102" s="1651">
        <f>'Tab. 6A -Drogi'!E677+'Tab. 6A -Drogi'!E722+'Tab. 6A -Drogi'!E615+'Tab. 6A -Drogi'!E650</f>
        <v>56644776</v>
      </c>
      <c r="C102" s="1651">
        <f>'Tab. 6A -Drogi'!F677+'Tab. 6A -Drogi'!F722+'Tab. 6A -Drogi'!F615+'Tab. 6A -Drogi'!F650</f>
        <v>47275084</v>
      </c>
      <c r="D102" s="1651">
        <f>'Tab. 6A -Drogi'!G677+'Tab. 6A -Drogi'!G722+'Tab. 6A -Drogi'!G615+'Tab. 6A -Drogi'!G650</f>
        <v>27877585</v>
      </c>
      <c r="E102" s="1651">
        <f>'Tab. 6A -Drogi'!H677+'Tab. 6A -Drogi'!H722+'Tab. 6A -Drogi'!H615+'Tab. 6A -Drogi'!H650</f>
        <v>30055585</v>
      </c>
      <c r="F102" s="1651">
        <f>'Tab. 6A -Drogi'!I677+'Tab. 6A -Drogi'!I722+'Tab. 6A -Drogi'!I615+'Tab. 6A -Drogi'!I650</f>
        <v>30055585</v>
      </c>
      <c r="G102" s="1651">
        <f>'Tab. 6A -Drogi'!J677+'Tab. 6A -Drogi'!J722+'Tab. 6A -Drogi'!J615+'Tab. 6A -Drogi'!J650</f>
        <v>0</v>
      </c>
      <c r="H102" s="1651">
        <f>'Tab. 6A -Drogi'!K677+'Tab. 6A -Drogi'!K722+'Tab. 6A -Drogi'!K615+'Tab. 6A -Drogi'!K650</f>
        <v>0</v>
      </c>
      <c r="I102" s="1651">
        <f>'Tab. 6A -Drogi'!L677+'Tab. 6A -Drogi'!L722+'Tab. 6A -Drogi'!L615+'Tab. 6A -Drogi'!L650</f>
        <v>0</v>
      </c>
      <c r="J102" s="1652">
        <f>B102+C102+D102+E102+F102+G102+H102+I102</f>
        <v>191908615</v>
      </c>
      <c r="K102" s="1624"/>
      <c r="L102" s="2034">
        <f>'Tab. 6A -Drogi'!D615+'Tab. 6A -Drogi'!D650+'Tab. 6A -Drogi'!D677+'Tab. 6A -Drogi'!D722</f>
        <v>191908615</v>
      </c>
      <c r="M102" s="2035">
        <f>J102-L102</f>
        <v>0</v>
      </c>
      <c r="N102" s="2033"/>
    </row>
    <row r="103" spans="1:14" s="1625" customFormat="1" ht="18" hidden="1" customHeight="1">
      <c r="A103" s="1650" t="s">
        <v>41</v>
      </c>
      <c r="B103" s="1651">
        <f>'Tab. 6A -Drogi'!E627+'Tab. 6A -Drogi'!E730+'Tab. 6C - Ochrona zdrowia'!E62+'Tab. 6F - Kultura'!E27+'Tab. 6G - Roln i ochrona środ.'!E199+'Tab. 6F - Kultura'!E38</f>
        <v>36192511</v>
      </c>
      <c r="C103" s="1651">
        <f>'Tab. 6A -Drogi'!F627+'Tab. 6A -Drogi'!F730+'Tab. 6C - Ochrona zdrowia'!F62+'Tab. 6F - Kultura'!F27+'Tab. 6G - Roln i ochrona środ.'!F199+'Tab. 6F - Kultura'!F38</f>
        <v>32695237</v>
      </c>
      <c r="D103" s="1651">
        <f>'Tab. 6A -Drogi'!G627+'Tab. 6A -Drogi'!G730+'Tab. 6C - Ochrona zdrowia'!G62+'Tab. 6F - Kultura'!G27+'Tab. 6G - Roln i ochrona środ.'!G199+'Tab. 6F - Kultura'!G38</f>
        <v>20719897</v>
      </c>
      <c r="E103" s="1651">
        <f>'Tab. 6A -Drogi'!H627+'Tab. 6A -Drogi'!H730+'Tab. 6C - Ochrona zdrowia'!H62+'Tab. 6F - Kultura'!H27+'Tab. 6G - Roln i ochrona środ.'!H199+'Tab. 6F - Kultura'!H38</f>
        <v>42547360</v>
      </c>
      <c r="F103" s="1651">
        <f>'Tab. 6A -Drogi'!I627+'Tab. 6A -Drogi'!I730+'Tab. 6C - Ochrona zdrowia'!I62+'Tab. 6F - Kultura'!I27+'Tab. 6G - Roln i ochrona środ.'!I199+'Tab. 6F - Kultura'!I38</f>
        <v>24384000</v>
      </c>
      <c r="G103" s="1651">
        <f>'Tab. 6A -Drogi'!J627+'Tab. 6A -Drogi'!J730+'Tab. 6C - Ochrona zdrowia'!J62+'Tab. 6F - Kultura'!J27+'Tab. 6G - Roln i ochrona środ.'!J199+'Tab. 6F - Kultura'!J38</f>
        <v>42060800</v>
      </c>
      <c r="H103" s="1651">
        <f>'Tab. 6A -Drogi'!K627+'Tab. 6A -Drogi'!K730+'Tab. 6C - Ochrona zdrowia'!K62+'Tab. 6F - Kultura'!K27+'Tab. 6G - Roln i ochrona środ.'!K199+'Tab. 6F - Kultura'!K38</f>
        <v>2236889</v>
      </c>
      <c r="I103" s="1651">
        <f>'Tab. 6A -Drogi'!L627+'Tab. 6A -Drogi'!L730+'Tab. 6C - Ochrona zdrowia'!L62+'Tab. 6F - Kultura'!L27+'Tab. 6G - Roln i ochrona środ.'!L199+'Tab. 6F - Kultura'!L38</f>
        <v>0</v>
      </c>
      <c r="J103" s="1652">
        <f>B103+C103+D103+E103+F103+G103+H103+I103</f>
        <v>200836694</v>
      </c>
      <c r="K103" s="1624"/>
      <c r="L103" s="2034">
        <f>'Tab. 6A -Drogi'!D627+'Tab. 6G - Roln i ochrona środ.'!D199+'Tab. 6C - Ochrona zdrowia'!D63+'Tab. 6F - Kultura'!D18+'Tab. 6A -Drogi'!D730</f>
        <v>200836694</v>
      </c>
      <c r="M103" s="2035">
        <f>J103-L103</f>
        <v>0</v>
      </c>
      <c r="N103" s="2033"/>
    </row>
    <row r="104" spans="1:14" s="1625" customFormat="1" ht="18" hidden="1" customHeight="1">
      <c r="A104" s="1644"/>
      <c r="B104" s="1643">
        <f>B101+B97-B91</f>
        <v>0</v>
      </c>
      <c r="C104" s="1643">
        <f>C101+C97-C91</f>
        <v>0</v>
      </c>
      <c r="D104" s="1643">
        <f t="shared" ref="D104:I104" si="51">D101+D97-D91</f>
        <v>0</v>
      </c>
      <c r="E104" s="1643">
        <f t="shared" si="51"/>
        <v>0</v>
      </c>
      <c r="F104" s="1643">
        <f t="shared" si="51"/>
        <v>0</v>
      </c>
      <c r="G104" s="1643">
        <f t="shared" si="51"/>
        <v>0</v>
      </c>
      <c r="H104" s="1643">
        <f t="shared" si="51"/>
        <v>0</v>
      </c>
      <c r="I104" s="1643">
        <f t="shared" si="51"/>
        <v>0</v>
      </c>
      <c r="J104" s="1643">
        <f>J101+J97-J91</f>
        <v>0</v>
      </c>
      <c r="K104" s="1624"/>
      <c r="L104" s="1624"/>
    </row>
    <row r="105" spans="1:14" s="1625" customFormat="1" ht="18" hidden="1" customHeight="1" thickBot="1">
      <c r="A105" s="1653"/>
      <c r="B105" s="1654"/>
      <c r="C105" s="1654"/>
      <c r="D105" s="1654"/>
      <c r="E105" s="1654"/>
      <c r="F105" s="1654"/>
      <c r="G105" s="1654"/>
      <c r="H105" s="1654"/>
      <c r="I105" s="1654"/>
      <c r="J105" s="1654"/>
      <c r="K105" s="1624"/>
      <c r="L105" s="1624"/>
    </row>
    <row r="106" spans="1:14" s="1625" customFormat="1" ht="18" hidden="1" customHeight="1">
      <c r="A106" s="1622"/>
      <c r="B106" s="1623">
        <f>+B85-B59</f>
        <v>0</v>
      </c>
      <c r="C106" s="1623">
        <f>+C85-C59</f>
        <v>0</v>
      </c>
      <c r="D106" s="1623">
        <f>+D85-D59</f>
        <v>0</v>
      </c>
      <c r="E106" s="1623">
        <f t="shared" ref="E106:I106" si="52">+E85-E59</f>
        <v>0</v>
      </c>
      <c r="F106" s="1623">
        <f t="shared" si="52"/>
        <v>0</v>
      </c>
      <c r="G106" s="1623">
        <f t="shared" si="52"/>
        <v>0</v>
      </c>
      <c r="H106" s="1623">
        <f t="shared" si="52"/>
        <v>0</v>
      </c>
      <c r="I106" s="1623">
        <f t="shared" si="52"/>
        <v>0</v>
      </c>
      <c r="J106" s="1623">
        <f>+J85-J59</f>
        <v>0</v>
      </c>
      <c r="K106" s="1623"/>
      <c r="L106" s="1624"/>
    </row>
    <row r="107" spans="1:14" s="1625" customFormat="1" ht="18" hidden="1" customHeight="1">
      <c r="A107" s="1622"/>
      <c r="B107" s="1623">
        <f t="shared" ref="B107:J107" si="53">B12+B59</f>
        <v>715406040</v>
      </c>
      <c r="C107" s="1623">
        <f t="shared" si="53"/>
        <v>545283095</v>
      </c>
      <c r="D107" s="1623">
        <f t="shared" si="53"/>
        <v>759721934</v>
      </c>
      <c r="E107" s="1623">
        <f t="shared" si="53"/>
        <v>363258532</v>
      </c>
      <c r="F107" s="1623">
        <f t="shared" si="53"/>
        <v>283163936</v>
      </c>
      <c r="G107" s="1623">
        <f t="shared" si="53"/>
        <v>92643497</v>
      </c>
      <c r="H107" s="1623">
        <f t="shared" si="53"/>
        <v>44860247</v>
      </c>
      <c r="I107" s="1623">
        <f t="shared" si="53"/>
        <v>39747892</v>
      </c>
      <c r="J107" s="1623">
        <f t="shared" si="53"/>
        <v>2844085173</v>
      </c>
      <c r="K107" s="1623"/>
      <c r="L107" s="1624"/>
    </row>
    <row r="108" spans="1:14" s="1625" customFormat="1" ht="16.5" hidden="1" customHeight="1" thickBot="1">
      <c r="A108" s="1622"/>
      <c r="B108" s="1655" t="s">
        <v>555</v>
      </c>
      <c r="C108" s="1656" t="s">
        <v>5</v>
      </c>
      <c r="D108" s="1657" t="s">
        <v>6</v>
      </c>
      <c r="E108" s="1657" t="s">
        <v>229</v>
      </c>
      <c r="F108" s="1657" t="s">
        <v>231</v>
      </c>
      <c r="G108" s="1657" t="s">
        <v>286</v>
      </c>
      <c r="H108" s="1657" t="s">
        <v>287</v>
      </c>
      <c r="I108" s="1657" t="s">
        <v>285</v>
      </c>
      <c r="J108" s="1658" t="s">
        <v>46</v>
      </c>
      <c r="K108" s="1658" t="s">
        <v>464</v>
      </c>
      <c r="L108" s="1624"/>
    </row>
    <row r="109" spans="1:14" s="1625" customFormat="1" ht="18" hidden="1" customHeight="1">
      <c r="A109" s="1622"/>
      <c r="B109" s="1623"/>
      <c r="C109" s="1623"/>
      <c r="D109" s="1623"/>
      <c r="E109" s="1623"/>
      <c r="F109" s="1623"/>
      <c r="G109" s="1623"/>
      <c r="H109" s="1623"/>
      <c r="I109" s="1623"/>
      <c r="J109" s="1623"/>
      <c r="K109" s="1659"/>
      <c r="L109" s="1624"/>
    </row>
    <row r="110" spans="1:14" s="1625" customFormat="1" ht="18" hidden="1" customHeight="1">
      <c r="A110" s="1622"/>
      <c r="B110" s="1623"/>
      <c r="C110" s="1623"/>
      <c r="D110" s="1623"/>
      <c r="E110" s="1623"/>
      <c r="F110" s="1623"/>
      <c r="G110" s="1623"/>
      <c r="H110" s="1623"/>
      <c r="I110" s="1623"/>
      <c r="J110" s="1623"/>
      <c r="K110" s="1659"/>
      <c r="L110" s="1624"/>
    </row>
    <row r="111" spans="1:14" s="589" customFormat="1" ht="12.75" hidden="1" customHeight="1">
      <c r="A111" s="1590"/>
      <c r="B111" s="1549"/>
      <c r="C111" s="1549">
        <f t="shared" ref="C111:D112" si="54">+C13+C60</f>
        <v>199601334</v>
      </c>
      <c r="D111" s="1549">
        <f t="shared" si="54"/>
        <v>222159845</v>
      </c>
      <c r="E111" s="1549"/>
      <c r="F111" s="1549"/>
      <c r="G111" s="1549"/>
      <c r="H111" s="1549"/>
      <c r="I111" s="1549"/>
      <c r="J111" s="1549"/>
      <c r="L111" s="586"/>
    </row>
    <row r="112" spans="1:14" s="589" customFormat="1" ht="28.5" hidden="1" customHeight="1">
      <c r="A112" s="1660"/>
      <c r="B112" s="1661"/>
      <c r="C112" s="1661">
        <f t="shared" si="54"/>
        <v>345681761</v>
      </c>
      <c r="D112" s="1661">
        <f t="shared" si="54"/>
        <v>537562089</v>
      </c>
      <c r="E112" s="1661"/>
      <c r="F112" s="1661"/>
      <c r="G112" s="1661"/>
      <c r="H112" s="1661"/>
      <c r="I112" s="1661"/>
      <c r="J112" s="1660"/>
      <c r="K112" s="1660"/>
      <c r="L112" s="586"/>
    </row>
    <row r="113" spans="1:12" s="589" customFormat="1" ht="8.25" hidden="1" customHeight="1" thickBot="1">
      <c r="A113" s="1590"/>
      <c r="B113" s="1549"/>
      <c r="C113" s="1549"/>
      <c r="D113" s="1549"/>
      <c r="E113" s="1549"/>
      <c r="F113" s="1549"/>
      <c r="G113" s="1549"/>
      <c r="H113" s="1549"/>
      <c r="I113" s="1549"/>
      <c r="J113" s="1549"/>
      <c r="L113" s="586"/>
    </row>
    <row r="114" spans="1:12" s="589" customFormat="1" ht="12.75" hidden="1" customHeight="1">
      <c r="A114" s="1590"/>
      <c r="B114" s="1662"/>
      <c r="C114" s="1663">
        <f t="shared" ref="C114:J114" si="55">+C115+C116</f>
        <v>545283095</v>
      </c>
      <c r="D114" s="1663">
        <f>+D115+D116</f>
        <v>759721934</v>
      </c>
      <c r="E114" s="1663"/>
      <c r="F114" s="1663"/>
      <c r="G114" s="1663"/>
      <c r="H114" s="1663"/>
      <c r="I114" s="1663"/>
      <c r="J114" s="1662">
        <f t="shared" si="55"/>
        <v>2844085173</v>
      </c>
      <c r="K114" s="1664"/>
      <c r="L114" s="586"/>
    </row>
    <row r="115" spans="1:12" s="589" customFormat="1" ht="12.75" hidden="1" customHeight="1">
      <c r="A115" s="1590"/>
      <c r="B115" s="1665"/>
      <c r="C115" s="1666">
        <f t="shared" ref="C115:D116" si="56">+C13+C60</f>
        <v>199601334</v>
      </c>
      <c r="D115" s="1666">
        <f t="shared" si="56"/>
        <v>222159845</v>
      </c>
      <c r="E115" s="1666"/>
      <c r="F115" s="1666"/>
      <c r="G115" s="1666"/>
      <c r="H115" s="1666"/>
      <c r="I115" s="1666"/>
      <c r="J115" s="1665">
        <f>+J13+J60</f>
        <v>1356078506</v>
      </c>
      <c r="K115" s="1667"/>
      <c r="L115" s="586"/>
    </row>
    <row r="116" spans="1:12" s="589" customFormat="1" ht="12.75" hidden="1" customHeight="1" thickBot="1">
      <c r="A116" s="1590"/>
      <c r="B116" s="1668"/>
      <c r="C116" s="1669">
        <f t="shared" si="56"/>
        <v>345681761</v>
      </c>
      <c r="D116" s="1669">
        <f t="shared" si="56"/>
        <v>537562089</v>
      </c>
      <c r="E116" s="1669"/>
      <c r="F116" s="1669"/>
      <c r="G116" s="1669"/>
      <c r="H116" s="1669"/>
      <c r="I116" s="1669"/>
      <c r="J116" s="1668">
        <f>+J14+J61</f>
        <v>1488006667</v>
      </c>
      <c r="K116" s="1670"/>
      <c r="L116" s="586"/>
    </row>
    <row r="117" spans="1:12" s="589" customFormat="1" ht="21.75" hidden="1" customHeight="1">
      <c r="A117" s="1671" t="s">
        <v>47</v>
      </c>
      <c r="B117" s="1672"/>
      <c r="C117" s="1672">
        <f t="shared" ref="C117:J117" si="57">+C85+C48</f>
        <v>545283095</v>
      </c>
      <c r="D117" s="1672">
        <f t="shared" si="57"/>
        <v>759721934</v>
      </c>
      <c r="E117" s="1672"/>
      <c r="F117" s="1672"/>
      <c r="G117" s="1672"/>
      <c r="H117" s="1672"/>
      <c r="I117" s="1672"/>
      <c r="J117" s="1672">
        <f t="shared" si="57"/>
        <v>2844085173.3000002</v>
      </c>
      <c r="K117" s="1673"/>
      <c r="L117" s="586"/>
    </row>
    <row r="118" spans="1:12" s="589" customFormat="1" ht="9.75" hidden="1" customHeight="1">
      <c r="A118" s="1671"/>
      <c r="B118" s="1661"/>
      <c r="C118" s="1661">
        <f t="shared" ref="C118:J118" si="58">+C117-C114</f>
        <v>0</v>
      </c>
      <c r="D118" s="1661">
        <f t="shared" si="58"/>
        <v>0</v>
      </c>
      <c r="E118" s="1661"/>
      <c r="F118" s="1661"/>
      <c r="G118" s="1661"/>
      <c r="H118" s="1661"/>
      <c r="I118" s="1661"/>
      <c r="J118" s="1661">
        <f t="shared" si="58"/>
        <v>0.30000019073486328</v>
      </c>
      <c r="K118" s="1549"/>
      <c r="L118" s="586"/>
    </row>
    <row r="119" spans="1:12" s="589" customFormat="1" ht="15.75" hidden="1" customHeight="1" thickBot="1">
      <c r="A119" s="1671" t="s">
        <v>48</v>
      </c>
      <c r="B119" s="1672"/>
      <c r="C119" s="1672">
        <f t="shared" ref="C119:J119" si="59">+C86+C49</f>
        <v>340623747.69999999</v>
      </c>
      <c r="D119" s="1672">
        <f t="shared" si="59"/>
        <v>495989258</v>
      </c>
      <c r="E119" s="1672"/>
      <c r="F119" s="1672"/>
      <c r="G119" s="1672"/>
      <c r="H119" s="1672"/>
      <c r="I119" s="1672"/>
      <c r="J119" s="1672">
        <f t="shared" si="59"/>
        <v>1588686601.6999998</v>
      </c>
      <c r="K119" s="1549"/>
      <c r="L119" s="586"/>
    </row>
    <row r="120" spans="1:12" ht="1.5" hidden="1" customHeight="1">
      <c r="A120" s="3072" t="s">
        <v>551</v>
      </c>
      <c r="B120" s="1674"/>
      <c r="C120" s="1675"/>
      <c r="D120" s="1674"/>
      <c r="E120" s="1674"/>
      <c r="F120" s="1674"/>
      <c r="G120" s="1674"/>
      <c r="H120" s="1674"/>
      <c r="I120" s="1674"/>
      <c r="J120" s="1674"/>
      <c r="K120" s="1676"/>
    </row>
    <row r="121" spans="1:12" s="1540" customFormat="1" ht="27.75" hidden="1" customHeight="1" thickBot="1">
      <c r="A121" s="3073"/>
      <c r="B121" s="1677">
        <f>+B85+B48</f>
        <v>715406040.29999995</v>
      </c>
      <c r="C121" s="1678">
        <f t="shared" ref="C121:J121" si="60">+C85+C48</f>
        <v>545283095</v>
      </c>
      <c r="D121" s="1677">
        <f t="shared" si="60"/>
        <v>759721934</v>
      </c>
      <c r="E121" s="1677">
        <f t="shared" si="60"/>
        <v>363258532</v>
      </c>
      <c r="F121" s="1677">
        <f t="shared" si="60"/>
        <v>283163936</v>
      </c>
      <c r="G121" s="1677">
        <f>+G85+G48</f>
        <v>92643497</v>
      </c>
      <c r="H121" s="1677">
        <f>+H85+H48</f>
        <v>44860247</v>
      </c>
      <c r="I121" s="1677">
        <f>+I85+I48</f>
        <v>39747892</v>
      </c>
      <c r="J121" s="1677">
        <f t="shared" si="60"/>
        <v>2844085173.3000002</v>
      </c>
      <c r="K121" s="1679">
        <f>+K85+K48</f>
        <v>2128679133</v>
      </c>
      <c r="L121" s="262"/>
    </row>
    <row r="122" spans="1:12" hidden="1">
      <c r="A122" s="1" t="s">
        <v>49</v>
      </c>
      <c r="B122" s="2">
        <f t="shared" ref="B122:J122" si="61">+B18+B65+B27</f>
        <v>411556261.30000001</v>
      </c>
      <c r="C122" s="286">
        <f t="shared" si="61"/>
        <v>194668690</v>
      </c>
      <c r="D122" s="2">
        <f t="shared" si="61"/>
        <v>267234397</v>
      </c>
      <c r="E122" s="2">
        <f t="shared" si="61"/>
        <v>205778101</v>
      </c>
      <c r="F122" s="2">
        <f t="shared" si="61"/>
        <v>187267691</v>
      </c>
      <c r="G122" s="2">
        <f t="shared" si="61"/>
        <v>15542774</v>
      </c>
      <c r="H122" s="2">
        <f t="shared" si="61"/>
        <v>9519854</v>
      </c>
      <c r="I122" s="2">
        <f t="shared" si="61"/>
        <v>8620407</v>
      </c>
      <c r="J122" s="3">
        <f t="shared" si="61"/>
        <v>1300188175.3</v>
      </c>
      <c r="K122" s="1680">
        <f>+K18+K65+K27</f>
        <v>888631914</v>
      </c>
    </row>
    <row r="123" spans="1:12" hidden="1">
      <c r="A123" s="1" t="s">
        <v>50</v>
      </c>
      <c r="B123" s="3">
        <f>+B68</f>
        <v>33000296</v>
      </c>
      <c r="C123" s="739">
        <f t="shared" ref="C123:D123" si="62">+C68</f>
        <v>5892386</v>
      </c>
      <c r="D123" s="3">
        <f t="shared" si="62"/>
        <v>8692126</v>
      </c>
      <c r="E123" s="3">
        <f t="shared" ref="E123:K123" si="63">+E68</f>
        <v>12305000</v>
      </c>
      <c r="F123" s="3">
        <f t="shared" si="63"/>
        <v>5657500</v>
      </c>
      <c r="G123" s="3">
        <f t="shared" si="63"/>
        <v>3566880</v>
      </c>
      <c r="H123" s="3">
        <f t="shared" si="63"/>
        <v>1472245</v>
      </c>
      <c r="I123" s="3">
        <f t="shared" si="63"/>
        <v>0</v>
      </c>
      <c r="J123" s="3">
        <f t="shared" si="63"/>
        <v>70586433</v>
      </c>
      <c r="K123" s="2841">
        <f t="shared" si="63"/>
        <v>37586137</v>
      </c>
    </row>
    <row r="124" spans="1:12" hidden="1">
      <c r="A124" s="482" t="s">
        <v>13</v>
      </c>
      <c r="B124" s="3">
        <f t="shared" ref="B124:K124" si="64">+B19+B70</f>
        <v>29758884</v>
      </c>
      <c r="C124" s="739">
        <f t="shared" si="64"/>
        <v>28142383</v>
      </c>
      <c r="D124" s="3">
        <f t="shared" si="64"/>
        <v>1674979</v>
      </c>
      <c r="E124" s="3">
        <f t="shared" si="64"/>
        <v>1178198</v>
      </c>
      <c r="F124" s="3">
        <f t="shared" si="64"/>
        <v>1243362</v>
      </c>
      <c r="G124" s="3">
        <f t="shared" si="64"/>
        <v>989414</v>
      </c>
      <c r="H124" s="3">
        <f t="shared" si="64"/>
        <v>989414</v>
      </c>
      <c r="I124" s="3">
        <f t="shared" si="64"/>
        <v>494707</v>
      </c>
      <c r="J124" s="3">
        <f>+J19+J70</f>
        <v>64471341</v>
      </c>
      <c r="K124" s="2841">
        <f t="shared" si="64"/>
        <v>34712457</v>
      </c>
    </row>
    <row r="125" spans="1:12" hidden="1">
      <c r="A125" s="2845" t="s">
        <v>51</v>
      </c>
      <c r="B125" s="3">
        <f t="shared" ref="B125:K125" si="65">+B20+B72</f>
        <v>0</v>
      </c>
      <c r="C125" s="739">
        <f t="shared" si="65"/>
        <v>27618240</v>
      </c>
      <c r="D125" s="3">
        <f t="shared" si="65"/>
        <v>18864240</v>
      </c>
      <c r="E125" s="3">
        <f t="shared" si="65"/>
        <v>36547360</v>
      </c>
      <c r="F125" s="3">
        <f t="shared" si="65"/>
        <v>20384000</v>
      </c>
      <c r="G125" s="3">
        <f t="shared" si="65"/>
        <v>40060800</v>
      </c>
      <c r="H125" s="3">
        <f t="shared" si="65"/>
        <v>586160</v>
      </c>
      <c r="I125" s="3">
        <f t="shared" si="65"/>
        <v>0</v>
      </c>
      <c r="J125" s="3">
        <f t="shared" si="65"/>
        <v>144060800</v>
      </c>
      <c r="K125" s="2842">
        <f t="shared" si="65"/>
        <v>144060800</v>
      </c>
      <c r="L125" s="260">
        <f>+J125+J130</f>
        <v>144060800</v>
      </c>
    </row>
    <row r="126" spans="1:12" hidden="1">
      <c r="A126" s="482" t="s">
        <v>15</v>
      </c>
      <c r="B126" s="3">
        <f t="shared" ref="B126:K126" si="66">+B21+B69</f>
        <v>24092686</v>
      </c>
      <c r="C126" s="739">
        <f t="shared" si="66"/>
        <v>8371187</v>
      </c>
      <c r="D126" s="3">
        <f t="shared" si="66"/>
        <v>6041821</v>
      </c>
      <c r="E126" s="3">
        <f t="shared" si="66"/>
        <v>0</v>
      </c>
      <c r="F126" s="3">
        <f t="shared" si="66"/>
        <v>0</v>
      </c>
      <c r="G126" s="3">
        <f t="shared" si="66"/>
        <v>0</v>
      </c>
      <c r="H126" s="3">
        <f t="shared" si="66"/>
        <v>0</v>
      </c>
      <c r="I126" s="3">
        <f t="shared" si="66"/>
        <v>0</v>
      </c>
      <c r="J126" s="3">
        <f t="shared" si="66"/>
        <v>38505694</v>
      </c>
      <c r="K126" s="2841">
        <f t="shared" si="66"/>
        <v>14413008</v>
      </c>
    </row>
    <row r="127" spans="1:12" hidden="1">
      <c r="A127" s="482" t="s">
        <v>52</v>
      </c>
      <c r="B127" s="3">
        <f t="shared" ref="B127:K127" si="67">+B22+B66</f>
        <v>2196030</v>
      </c>
      <c r="C127" s="739">
        <f t="shared" si="67"/>
        <v>15130493</v>
      </c>
      <c r="D127" s="3">
        <f t="shared" si="67"/>
        <v>26481351</v>
      </c>
      <c r="E127" s="3">
        <f t="shared" si="67"/>
        <v>14801038</v>
      </c>
      <c r="F127" s="3">
        <f t="shared" si="67"/>
        <v>14182860</v>
      </c>
      <c r="G127" s="3">
        <f t="shared" si="67"/>
        <v>0</v>
      </c>
      <c r="H127" s="3">
        <f t="shared" si="67"/>
        <v>0</v>
      </c>
      <c r="I127" s="3">
        <f t="shared" si="67"/>
        <v>0</v>
      </c>
      <c r="J127" s="2973">
        <f>+J22+J66</f>
        <v>72791772</v>
      </c>
      <c r="K127" s="2841">
        <f t="shared" si="67"/>
        <v>70595742</v>
      </c>
    </row>
    <row r="128" spans="1:12" hidden="1">
      <c r="A128" s="482" t="s">
        <v>20</v>
      </c>
      <c r="B128" s="3">
        <f t="shared" ref="B128:K128" si="68">+B29</f>
        <v>7865609</v>
      </c>
      <c r="C128" s="739">
        <f t="shared" si="68"/>
        <v>10137973</v>
      </c>
      <c r="D128" s="3">
        <f t="shared" si="68"/>
        <v>21510939</v>
      </c>
      <c r="E128" s="3">
        <f t="shared" si="68"/>
        <v>6735663</v>
      </c>
      <c r="F128" s="3">
        <f t="shared" si="68"/>
        <v>183492</v>
      </c>
      <c r="G128" s="3">
        <f t="shared" si="68"/>
        <v>0</v>
      </c>
      <c r="H128" s="3">
        <f t="shared" si="68"/>
        <v>0</v>
      </c>
      <c r="I128" s="3">
        <f t="shared" si="68"/>
        <v>0</v>
      </c>
      <c r="J128" s="2973">
        <f t="shared" si="68"/>
        <v>46433676</v>
      </c>
      <c r="K128" s="2841">
        <f t="shared" si="68"/>
        <v>38568067</v>
      </c>
    </row>
    <row r="129" spans="1:12" hidden="1">
      <c r="A129" s="482" t="s">
        <v>17</v>
      </c>
      <c r="B129" s="3">
        <f t="shared" ref="B129:K129" si="69">+B24</f>
        <v>11379681</v>
      </c>
      <c r="C129" s="739">
        <f t="shared" si="69"/>
        <v>0</v>
      </c>
      <c r="D129" s="3">
        <f t="shared" si="69"/>
        <v>0</v>
      </c>
      <c r="E129" s="3">
        <f t="shared" si="69"/>
        <v>0</v>
      </c>
      <c r="F129" s="3">
        <f t="shared" si="69"/>
        <v>0</v>
      </c>
      <c r="G129" s="3">
        <f t="shared" si="69"/>
        <v>0</v>
      </c>
      <c r="H129" s="3">
        <f t="shared" si="69"/>
        <v>0</v>
      </c>
      <c r="I129" s="3">
        <f t="shared" si="69"/>
        <v>0</v>
      </c>
      <c r="J129" s="3">
        <f t="shared" si="69"/>
        <v>11379681</v>
      </c>
      <c r="K129" s="2841">
        <f t="shared" si="69"/>
        <v>0</v>
      </c>
    </row>
    <row r="130" spans="1:12" ht="22.5" hidden="1" customHeight="1">
      <c r="A130" s="482" t="s">
        <v>53</v>
      </c>
      <c r="B130" s="3">
        <f t="shared" ref="B130:K130" si="70">+B30</f>
        <v>0</v>
      </c>
      <c r="C130" s="739">
        <f t="shared" si="70"/>
        <v>0</v>
      </c>
      <c r="D130" s="3">
        <f t="shared" si="70"/>
        <v>0</v>
      </c>
      <c r="E130" s="3">
        <f t="shared" si="70"/>
        <v>0</v>
      </c>
      <c r="F130" s="3">
        <f t="shared" si="70"/>
        <v>0</v>
      </c>
      <c r="G130" s="3">
        <f t="shared" si="70"/>
        <v>0</v>
      </c>
      <c r="H130" s="3">
        <f t="shared" si="70"/>
        <v>0</v>
      </c>
      <c r="I130" s="3">
        <f t="shared" si="70"/>
        <v>0</v>
      </c>
      <c r="J130" s="3">
        <f t="shared" si="70"/>
        <v>0</v>
      </c>
      <c r="K130" s="2841">
        <f t="shared" si="70"/>
        <v>0</v>
      </c>
    </row>
    <row r="131" spans="1:12" ht="16.5" hidden="1" customHeight="1">
      <c r="A131" s="482" t="s">
        <v>19</v>
      </c>
      <c r="B131" s="3">
        <f t="shared" ref="B131:K131" si="71">+B28</f>
        <v>0</v>
      </c>
      <c r="C131" s="739">
        <f t="shared" si="71"/>
        <v>0</v>
      </c>
      <c r="D131" s="3">
        <f t="shared" si="71"/>
        <v>0</v>
      </c>
      <c r="E131" s="3">
        <f t="shared" si="71"/>
        <v>0</v>
      </c>
      <c r="F131" s="3">
        <f t="shared" si="71"/>
        <v>0</v>
      </c>
      <c r="G131" s="3">
        <f t="shared" si="71"/>
        <v>0</v>
      </c>
      <c r="H131" s="3">
        <f t="shared" si="71"/>
        <v>0</v>
      </c>
      <c r="I131" s="3">
        <f t="shared" si="71"/>
        <v>0</v>
      </c>
      <c r="J131" s="3">
        <f t="shared" si="71"/>
        <v>0</v>
      </c>
      <c r="K131" s="2843">
        <f t="shared" si="71"/>
        <v>0</v>
      </c>
    </row>
    <row r="132" spans="1:12" ht="13.5" hidden="1" thickBot="1">
      <c r="A132" s="1681" t="s">
        <v>21</v>
      </c>
      <c r="B132" s="5">
        <f t="shared" ref="B132:K132" si="72">+B31</f>
        <v>195556593</v>
      </c>
      <c r="C132" s="1682">
        <f t="shared" si="72"/>
        <v>255321743</v>
      </c>
      <c r="D132" s="5">
        <f t="shared" si="72"/>
        <v>409222081</v>
      </c>
      <c r="E132" s="5">
        <f t="shared" si="72"/>
        <v>85913172</v>
      </c>
      <c r="F132" s="5">
        <f t="shared" si="72"/>
        <v>54245031</v>
      </c>
      <c r="G132" s="5">
        <f t="shared" si="72"/>
        <v>32483629</v>
      </c>
      <c r="H132" s="5">
        <f t="shared" si="72"/>
        <v>32292574</v>
      </c>
      <c r="I132" s="5">
        <f t="shared" si="72"/>
        <v>30632778</v>
      </c>
      <c r="J132" s="5">
        <f t="shared" si="72"/>
        <v>1095667601</v>
      </c>
      <c r="K132" s="2844">
        <f t="shared" si="72"/>
        <v>900111008</v>
      </c>
    </row>
    <row r="133" spans="1:12" s="1540" customFormat="1" ht="18" hidden="1" customHeight="1">
      <c r="A133" s="1683"/>
      <c r="B133" s="1685">
        <f t="shared" ref="B133:K133" si="73">SUM(B122:B132)</f>
        <v>715406040.29999995</v>
      </c>
      <c r="C133" s="1684">
        <f t="shared" si="73"/>
        <v>545283095</v>
      </c>
      <c r="D133" s="1684">
        <f t="shared" si="73"/>
        <v>759721934</v>
      </c>
      <c r="E133" s="1684">
        <f t="shared" si="73"/>
        <v>363258532</v>
      </c>
      <c r="F133" s="1684">
        <f t="shared" si="73"/>
        <v>283163936</v>
      </c>
      <c r="G133" s="1684">
        <f t="shared" si="73"/>
        <v>92643497</v>
      </c>
      <c r="H133" s="1684">
        <f t="shared" si="73"/>
        <v>44860247</v>
      </c>
      <c r="I133" s="1684">
        <f t="shared" si="73"/>
        <v>39747892</v>
      </c>
      <c r="J133" s="1684">
        <f t="shared" si="73"/>
        <v>2844085173.3000002</v>
      </c>
      <c r="K133" s="1684">
        <f t="shared" si="73"/>
        <v>2128679133</v>
      </c>
      <c r="L133" s="262"/>
    </row>
    <row r="134" spans="1:12" ht="18" hidden="1" customHeight="1" thickBot="1">
      <c r="A134" s="1686"/>
      <c r="B134" s="1687">
        <f t="shared" ref="B134:I134" si="74">+B133-B88</f>
        <v>0.29999995231628418</v>
      </c>
      <c r="C134" s="1687">
        <f t="shared" si="74"/>
        <v>0</v>
      </c>
      <c r="D134" s="1687">
        <f t="shared" si="74"/>
        <v>0</v>
      </c>
      <c r="E134" s="1687">
        <f t="shared" si="74"/>
        <v>0</v>
      </c>
      <c r="F134" s="1687">
        <f t="shared" si="74"/>
        <v>0</v>
      </c>
      <c r="G134" s="1687">
        <f t="shared" si="74"/>
        <v>0</v>
      </c>
      <c r="H134" s="1687">
        <f t="shared" si="74"/>
        <v>0</v>
      </c>
      <c r="I134" s="1687">
        <f t="shared" si="74"/>
        <v>0</v>
      </c>
      <c r="J134" s="1687">
        <f>+J133-J88</f>
        <v>0.30000019073486328</v>
      </c>
      <c r="K134" s="1687"/>
    </row>
    <row r="135" spans="1:12" ht="30" hidden="1" customHeight="1" thickBot="1">
      <c r="A135" s="1688" t="s">
        <v>552</v>
      </c>
      <c r="B135" s="1689">
        <f t="shared" ref="B135:J135" si="75">+B86+B49</f>
        <v>309501515</v>
      </c>
      <c r="C135" s="1690">
        <f t="shared" si="75"/>
        <v>340623747.69999999</v>
      </c>
      <c r="D135" s="1689">
        <f t="shared" si="75"/>
        <v>495989258</v>
      </c>
      <c r="E135" s="1689">
        <f t="shared" si="75"/>
        <v>183950885</v>
      </c>
      <c r="F135" s="1689">
        <f t="shared" si="75"/>
        <v>113846182</v>
      </c>
      <c r="G135" s="1689">
        <f t="shared" si="75"/>
        <v>75818447</v>
      </c>
      <c r="H135" s="1689">
        <f t="shared" si="75"/>
        <v>35438612</v>
      </c>
      <c r="I135" s="1689">
        <f t="shared" si="75"/>
        <v>31488520</v>
      </c>
      <c r="J135" s="1689">
        <f t="shared" si="75"/>
        <v>1588686601.6999998</v>
      </c>
      <c r="K135" s="1691" t="s">
        <v>23</v>
      </c>
    </row>
    <row r="136" spans="1:12" ht="14.25" hidden="1" customHeight="1">
      <c r="A136" s="1" t="s">
        <v>54</v>
      </c>
      <c r="B136" s="286">
        <f>+B35</f>
        <v>0</v>
      </c>
      <c r="C136" s="286">
        <f t="shared" ref="C136:K136" si="76">+C35</f>
        <v>0</v>
      </c>
      <c r="D136" s="2">
        <f t="shared" si="76"/>
        <v>0</v>
      </c>
      <c r="E136" s="2">
        <f>+E35</f>
        <v>0</v>
      </c>
      <c r="F136" s="2">
        <f t="shared" si="76"/>
        <v>0</v>
      </c>
      <c r="G136" s="2">
        <f t="shared" si="76"/>
        <v>0</v>
      </c>
      <c r="H136" s="2">
        <f t="shared" si="76"/>
        <v>0</v>
      </c>
      <c r="I136" s="2">
        <f t="shared" si="76"/>
        <v>0</v>
      </c>
      <c r="J136" s="1692">
        <f t="shared" si="76"/>
        <v>0</v>
      </c>
      <c r="K136" s="2">
        <f t="shared" si="76"/>
        <v>0</v>
      </c>
    </row>
    <row r="137" spans="1:12" ht="14.25" hidden="1" customHeight="1">
      <c r="A137" s="482" t="s">
        <v>13</v>
      </c>
      <c r="B137" s="4">
        <f t="shared" ref="B137:K137" si="77">+B77+B34</f>
        <v>29729045</v>
      </c>
      <c r="C137" s="739">
        <f t="shared" si="77"/>
        <v>28106448.600000001</v>
      </c>
      <c r="D137" s="3">
        <f t="shared" si="77"/>
        <v>1714449</v>
      </c>
      <c r="E137" s="3">
        <f t="shared" si="77"/>
        <v>1178197</v>
      </c>
      <c r="F137" s="3">
        <f t="shared" si="77"/>
        <v>1243362</v>
      </c>
      <c r="G137" s="3">
        <f t="shared" si="77"/>
        <v>1015718</v>
      </c>
      <c r="H137" s="3">
        <f t="shared" si="77"/>
        <v>989414</v>
      </c>
      <c r="I137" s="3">
        <f t="shared" si="77"/>
        <v>494707</v>
      </c>
      <c r="J137" s="1693">
        <f t="shared" si="77"/>
        <v>64471340.600000001</v>
      </c>
      <c r="K137" s="3">
        <f t="shared" si="77"/>
        <v>0</v>
      </c>
    </row>
    <row r="138" spans="1:12" ht="14.25" hidden="1" customHeight="1">
      <c r="A138" s="482" t="s">
        <v>15</v>
      </c>
      <c r="B138" s="4">
        <f t="shared" ref="B138:K138" si="78">+B37+B78</f>
        <v>24092686</v>
      </c>
      <c r="C138" s="739">
        <f t="shared" si="78"/>
        <v>8371187</v>
      </c>
      <c r="D138" s="3">
        <f t="shared" si="78"/>
        <v>6041821</v>
      </c>
      <c r="E138" s="3">
        <f t="shared" si="78"/>
        <v>0</v>
      </c>
      <c r="F138" s="3">
        <f t="shared" si="78"/>
        <v>0</v>
      </c>
      <c r="G138" s="3">
        <f t="shared" si="78"/>
        <v>0</v>
      </c>
      <c r="H138" s="3">
        <f t="shared" si="78"/>
        <v>0</v>
      </c>
      <c r="I138" s="3">
        <f t="shared" si="78"/>
        <v>0</v>
      </c>
      <c r="J138" s="1693">
        <f t="shared" si="78"/>
        <v>38505694</v>
      </c>
      <c r="K138" s="3">
        <f t="shared" si="78"/>
        <v>0</v>
      </c>
    </row>
    <row r="139" spans="1:12" ht="14.25" hidden="1" customHeight="1">
      <c r="A139" s="482" t="s">
        <v>52</v>
      </c>
      <c r="B139" s="4">
        <f t="shared" ref="B139:K139" si="79">+B38+B79</f>
        <v>30968091</v>
      </c>
      <c r="C139" s="739">
        <f t="shared" si="79"/>
        <v>11961826</v>
      </c>
      <c r="D139" s="3">
        <f t="shared" si="79"/>
        <v>9319285</v>
      </c>
      <c r="E139" s="3">
        <f t="shared" si="79"/>
        <v>12123285</v>
      </c>
      <c r="F139" s="3">
        <f t="shared" si="79"/>
        <v>8419285</v>
      </c>
      <c r="G139" s="3">
        <f t="shared" si="79"/>
        <v>0</v>
      </c>
      <c r="H139" s="3">
        <f t="shared" si="79"/>
        <v>0</v>
      </c>
      <c r="I139" s="3">
        <f t="shared" si="79"/>
        <v>0</v>
      </c>
      <c r="J139" s="1693">
        <f t="shared" si="79"/>
        <v>72791772</v>
      </c>
      <c r="K139" s="3">
        <f t="shared" si="79"/>
        <v>0</v>
      </c>
    </row>
    <row r="140" spans="1:12" ht="14.25" hidden="1" customHeight="1">
      <c r="A140" s="1" t="s">
        <v>12</v>
      </c>
      <c r="B140" s="4">
        <f t="shared" ref="B140:K140" si="80">+B80</f>
        <v>23178951</v>
      </c>
      <c r="C140" s="739">
        <f t="shared" si="80"/>
        <v>13959800</v>
      </c>
      <c r="D140" s="3">
        <f t="shared" si="80"/>
        <v>21313957</v>
      </c>
      <c r="E140" s="3">
        <f t="shared" si="80"/>
        <v>27636300</v>
      </c>
      <c r="F140" s="3">
        <f t="shared" si="80"/>
        <v>25636300</v>
      </c>
      <c r="G140" s="3">
        <f t="shared" si="80"/>
        <v>2000000</v>
      </c>
      <c r="H140" s="3">
        <f t="shared" si="80"/>
        <v>1650729</v>
      </c>
      <c r="I140" s="3">
        <f t="shared" si="80"/>
        <v>0</v>
      </c>
      <c r="J140" s="1693">
        <f t="shared" si="80"/>
        <v>115376037</v>
      </c>
      <c r="K140" s="3">
        <f t="shared" si="80"/>
        <v>0</v>
      </c>
    </row>
    <row r="141" spans="1:12" ht="13.5" hidden="1" customHeight="1">
      <c r="A141" s="482" t="s">
        <v>55</v>
      </c>
      <c r="B141" s="4">
        <f t="shared" ref="B141:K141" si="81">+B81+B36</f>
        <v>0</v>
      </c>
      <c r="C141" s="739">
        <f t="shared" si="81"/>
        <v>27618240</v>
      </c>
      <c r="D141" s="3">
        <f t="shared" si="81"/>
        <v>18864240</v>
      </c>
      <c r="E141" s="3">
        <f t="shared" si="81"/>
        <v>36547360</v>
      </c>
      <c r="F141" s="3">
        <f t="shared" si="81"/>
        <v>20384000</v>
      </c>
      <c r="G141" s="3">
        <f t="shared" si="81"/>
        <v>40060800</v>
      </c>
      <c r="H141" s="3">
        <f t="shared" si="81"/>
        <v>586160</v>
      </c>
      <c r="I141" s="3">
        <f t="shared" si="81"/>
        <v>0</v>
      </c>
      <c r="J141" s="1693">
        <f t="shared" si="81"/>
        <v>144060800</v>
      </c>
      <c r="K141" s="3">
        <f t="shared" si="81"/>
        <v>0</v>
      </c>
    </row>
    <row r="142" spans="1:12" ht="12.75" hidden="1" customHeight="1">
      <c r="A142" s="482" t="s">
        <v>56</v>
      </c>
      <c r="B142" s="4">
        <f t="shared" ref="B142:K142" si="82">+B44</f>
        <v>0</v>
      </c>
      <c r="C142" s="739">
        <f t="shared" si="82"/>
        <v>0</v>
      </c>
      <c r="D142" s="3">
        <f t="shared" si="82"/>
        <v>0</v>
      </c>
      <c r="E142" s="3">
        <f t="shared" si="82"/>
        <v>0</v>
      </c>
      <c r="F142" s="3">
        <f t="shared" si="82"/>
        <v>0</v>
      </c>
      <c r="G142" s="3">
        <f t="shared" si="82"/>
        <v>0</v>
      </c>
      <c r="H142" s="3">
        <f t="shared" si="82"/>
        <v>0</v>
      </c>
      <c r="I142" s="3">
        <f t="shared" si="82"/>
        <v>0</v>
      </c>
      <c r="J142" s="1693">
        <f t="shared" si="82"/>
        <v>0</v>
      </c>
      <c r="K142" s="3">
        <f t="shared" si="82"/>
        <v>0</v>
      </c>
    </row>
    <row r="143" spans="1:12" ht="14.25" hidden="1" customHeight="1">
      <c r="A143" s="482" t="s">
        <v>17</v>
      </c>
      <c r="B143" s="4">
        <f t="shared" ref="B143:K143" si="83">+B42+B39</f>
        <v>11379681</v>
      </c>
      <c r="C143" s="739">
        <f t="shared" si="83"/>
        <v>0</v>
      </c>
      <c r="D143" s="3">
        <f t="shared" si="83"/>
        <v>0</v>
      </c>
      <c r="E143" s="3">
        <f t="shared" si="83"/>
        <v>0</v>
      </c>
      <c r="F143" s="3">
        <f t="shared" si="83"/>
        <v>0</v>
      </c>
      <c r="G143" s="3">
        <f t="shared" si="83"/>
        <v>0</v>
      </c>
      <c r="H143" s="3">
        <f t="shared" si="83"/>
        <v>0</v>
      </c>
      <c r="I143" s="3">
        <f t="shared" si="83"/>
        <v>0</v>
      </c>
      <c r="J143" s="1693">
        <f t="shared" si="83"/>
        <v>11379681</v>
      </c>
      <c r="K143" s="3">
        <f t="shared" si="83"/>
        <v>0</v>
      </c>
    </row>
    <row r="144" spans="1:12" ht="21.75" hidden="1" customHeight="1">
      <c r="A144" s="482" t="s">
        <v>26</v>
      </c>
      <c r="B144" s="3">
        <f t="shared" ref="B144:K144" si="84">+B40</f>
        <v>0</v>
      </c>
      <c r="C144" s="739">
        <f t="shared" si="84"/>
        <v>0</v>
      </c>
      <c r="D144" s="3">
        <f t="shared" si="84"/>
        <v>0</v>
      </c>
      <c r="E144" s="3">
        <f t="shared" si="84"/>
        <v>0</v>
      </c>
      <c r="F144" s="3">
        <f t="shared" si="84"/>
        <v>0</v>
      </c>
      <c r="G144" s="3">
        <f t="shared" si="84"/>
        <v>0</v>
      </c>
      <c r="H144" s="3">
        <f t="shared" si="84"/>
        <v>0</v>
      </c>
      <c r="I144" s="3">
        <f t="shared" si="84"/>
        <v>0</v>
      </c>
      <c r="J144" s="1693">
        <f t="shared" si="84"/>
        <v>0</v>
      </c>
      <c r="K144" s="3">
        <f t="shared" si="84"/>
        <v>0</v>
      </c>
    </row>
    <row r="145" spans="1:14" ht="14.25" hidden="1" customHeight="1">
      <c r="A145" s="482" t="s">
        <v>20</v>
      </c>
      <c r="B145" s="4">
        <f t="shared" ref="B145:K145" si="85">+B45</f>
        <v>9417736</v>
      </c>
      <c r="C145" s="739">
        <f t="shared" si="85"/>
        <v>527021</v>
      </c>
      <c r="D145" s="3">
        <f t="shared" si="85"/>
        <v>18773293</v>
      </c>
      <c r="E145" s="3">
        <f t="shared" si="85"/>
        <v>14210616</v>
      </c>
      <c r="F145" s="3">
        <f t="shared" si="85"/>
        <v>3359879</v>
      </c>
      <c r="G145" s="3">
        <f t="shared" si="85"/>
        <v>145131</v>
      </c>
      <c r="H145" s="3">
        <f t="shared" si="85"/>
        <v>0</v>
      </c>
      <c r="I145" s="3">
        <f t="shared" si="85"/>
        <v>0</v>
      </c>
      <c r="J145" s="1693">
        <f t="shared" si="85"/>
        <v>46433676</v>
      </c>
      <c r="K145" s="3">
        <f t="shared" si="85"/>
        <v>0</v>
      </c>
    </row>
    <row r="146" spans="1:14" ht="14.25" hidden="1" customHeight="1">
      <c r="A146" s="1694" t="s">
        <v>19</v>
      </c>
      <c r="B146" s="294">
        <f t="shared" ref="B146:K146" si="86">+B43</f>
        <v>0</v>
      </c>
      <c r="C146" s="740">
        <f t="shared" si="86"/>
        <v>0</v>
      </c>
      <c r="D146" s="294">
        <f t="shared" si="86"/>
        <v>0</v>
      </c>
      <c r="E146" s="294">
        <f t="shared" si="86"/>
        <v>0</v>
      </c>
      <c r="F146" s="294">
        <f t="shared" si="86"/>
        <v>0</v>
      </c>
      <c r="G146" s="294">
        <f t="shared" si="86"/>
        <v>0</v>
      </c>
      <c r="H146" s="294">
        <f t="shared" si="86"/>
        <v>0</v>
      </c>
      <c r="I146" s="294">
        <f t="shared" si="86"/>
        <v>0</v>
      </c>
      <c r="J146" s="1693">
        <f t="shared" si="86"/>
        <v>0</v>
      </c>
      <c r="K146" s="294">
        <f t="shared" si="86"/>
        <v>0</v>
      </c>
    </row>
    <row r="147" spans="1:14" ht="14.25" hidden="1" customHeight="1" thickBot="1">
      <c r="A147" s="1681" t="s">
        <v>21</v>
      </c>
      <c r="B147" s="1696">
        <f t="shared" ref="B147:K147" si="87">+B46</f>
        <v>180735325</v>
      </c>
      <c r="C147" s="1697">
        <f t="shared" si="87"/>
        <v>250079225.09999999</v>
      </c>
      <c r="D147" s="1695">
        <f t="shared" si="87"/>
        <v>419962213</v>
      </c>
      <c r="E147" s="1695">
        <f t="shared" si="87"/>
        <v>92255127</v>
      </c>
      <c r="F147" s="1695">
        <f t="shared" si="87"/>
        <v>54803356</v>
      </c>
      <c r="G147" s="1695">
        <f t="shared" si="87"/>
        <v>32596798</v>
      </c>
      <c r="H147" s="1695">
        <f t="shared" si="87"/>
        <v>32212309</v>
      </c>
      <c r="I147" s="1695">
        <f t="shared" si="87"/>
        <v>30993813</v>
      </c>
      <c r="J147" s="1698">
        <f t="shared" si="87"/>
        <v>1095667601.0999999</v>
      </c>
      <c r="K147" s="1695">
        <f t="shared" si="87"/>
        <v>0</v>
      </c>
    </row>
    <row r="148" spans="1:14" ht="14.25" hidden="1" customHeight="1">
      <c r="A148" s="1699"/>
      <c r="B148" s="1700">
        <f>SUM(B136:B147)</f>
        <v>309501515</v>
      </c>
      <c r="C148" s="1700">
        <f t="shared" ref="C148:J148" si="88">SUM(C136:C147)</f>
        <v>340623747.69999999</v>
      </c>
      <c r="D148" s="1700">
        <f t="shared" si="88"/>
        <v>495989258</v>
      </c>
      <c r="E148" s="1700">
        <f>SUM(E136:E147)</f>
        <v>183950885</v>
      </c>
      <c r="F148" s="1700">
        <f>SUM(F136:F147)</f>
        <v>113846182</v>
      </c>
      <c r="G148" s="1700">
        <f t="shared" ref="G148:I148" si="89">SUM(G136:G147)</f>
        <v>75818447</v>
      </c>
      <c r="H148" s="1700">
        <f t="shared" si="89"/>
        <v>35438612</v>
      </c>
      <c r="I148" s="1700">
        <f t="shared" si="89"/>
        <v>31488520</v>
      </c>
      <c r="J148" s="1700">
        <f t="shared" si="88"/>
        <v>1588686601.6999998</v>
      </c>
      <c r="K148" s="1700">
        <f>SUM(K136:K147)</f>
        <v>0</v>
      </c>
    </row>
    <row r="149" spans="1:14" ht="14.25" hidden="1" customHeight="1">
      <c r="A149" s="1701"/>
      <c r="B149" s="1702">
        <f t="shared" ref="B149:F149" si="90">+B148-B91</f>
        <v>0</v>
      </c>
      <c r="C149" s="1702">
        <f t="shared" si="90"/>
        <v>0</v>
      </c>
      <c r="D149" s="1702">
        <f t="shared" si="90"/>
        <v>0</v>
      </c>
      <c r="E149" s="1702">
        <f t="shared" si="90"/>
        <v>0</v>
      </c>
      <c r="F149" s="1702">
        <f t="shared" si="90"/>
        <v>0</v>
      </c>
      <c r="G149" s="1702">
        <f t="shared" ref="G149:I149" si="91">+G148-G91</f>
        <v>0</v>
      </c>
      <c r="H149" s="1702">
        <f t="shared" si="91"/>
        <v>0</v>
      </c>
      <c r="I149" s="1702">
        <f t="shared" si="91"/>
        <v>0</v>
      </c>
      <c r="J149" s="1702">
        <f>+J148-J91</f>
        <v>0</v>
      </c>
      <c r="K149" s="1700"/>
    </row>
    <row r="150" spans="1:14" ht="13.5" hidden="1" thickBot="1">
      <c r="A150" s="1513"/>
      <c r="B150" s="1703" t="s">
        <v>555</v>
      </c>
      <c r="C150" s="1656" t="s">
        <v>5</v>
      </c>
      <c r="D150" s="1657" t="s">
        <v>6</v>
      </c>
      <c r="E150" s="1657" t="s">
        <v>229</v>
      </c>
      <c r="F150" s="1657" t="s">
        <v>231</v>
      </c>
      <c r="G150" s="1657" t="s">
        <v>286</v>
      </c>
      <c r="H150" s="1657" t="s">
        <v>287</v>
      </c>
      <c r="I150" s="1657" t="s">
        <v>285</v>
      </c>
      <c r="J150" s="1658" t="s">
        <v>46</v>
      </c>
      <c r="K150" s="1704" t="s">
        <v>464</v>
      </c>
    </row>
    <row r="151" spans="1:14" ht="3" hidden="1" customHeight="1">
      <c r="A151" s="3074" t="s">
        <v>553</v>
      </c>
      <c r="B151" s="1706"/>
      <c r="C151" s="1707"/>
      <c r="D151" s="1705"/>
      <c r="E151" s="1705"/>
      <c r="F151" s="1705"/>
      <c r="G151" s="1705"/>
      <c r="H151" s="1705"/>
      <c r="I151" s="1705"/>
      <c r="J151" s="1705"/>
      <c r="K151" s="1708"/>
    </row>
    <row r="152" spans="1:14" ht="27" hidden="1" customHeight="1" thickBot="1">
      <c r="A152" s="3075"/>
      <c r="B152" s="1709">
        <f>SUM(B153:B163)</f>
        <v>727872788.29999995</v>
      </c>
      <c r="C152" s="1710">
        <f t="shared" ref="C152:D152" si="92">SUM(C153:C163)</f>
        <v>564353135</v>
      </c>
      <c r="D152" s="1709">
        <f t="shared" si="92"/>
        <v>747774116</v>
      </c>
      <c r="E152" s="1709">
        <f t="shared" ref="E152:K152" si="93">SUM(E153:E163)</f>
        <v>357110432</v>
      </c>
      <c r="F152" s="1709">
        <f t="shared" si="93"/>
        <v>279353936</v>
      </c>
      <c r="G152" s="1709">
        <f t="shared" si="93"/>
        <v>88698497</v>
      </c>
      <c r="H152" s="1709">
        <f t="shared" si="93"/>
        <v>44860247</v>
      </c>
      <c r="I152" s="1709">
        <f t="shared" si="93"/>
        <v>39747805</v>
      </c>
      <c r="J152" s="1709">
        <f t="shared" si="93"/>
        <v>2884078403.3000002</v>
      </c>
      <c r="K152" s="1711">
        <f t="shared" si="93"/>
        <v>2156205615</v>
      </c>
    </row>
    <row r="153" spans="1:14" hidden="1">
      <c r="A153" s="1712" t="s">
        <v>49</v>
      </c>
      <c r="B153" s="1715">
        <v>414122786.30000001</v>
      </c>
      <c r="C153" s="1716">
        <v>196200758</v>
      </c>
      <c r="D153" s="1713">
        <v>267671025</v>
      </c>
      <c r="E153" s="1713">
        <v>204949386</v>
      </c>
      <c r="F153" s="1713">
        <v>183457691</v>
      </c>
      <c r="G153" s="1713">
        <v>11597774</v>
      </c>
      <c r="H153" s="1713">
        <v>9519854</v>
      </c>
      <c r="I153" s="1713">
        <v>8620394</v>
      </c>
      <c r="J153" s="1713">
        <v>1330447115.3</v>
      </c>
      <c r="K153" s="1714">
        <v>916324329</v>
      </c>
      <c r="M153" s="1525"/>
      <c r="N153" s="1525"/>
    </row>
    <row r="154" spans="1:14" hidden="1">
      <c r="A154" s="1712" t="s">
        <v>50</v>
      </c>
      <c r="B154" s="1715">
        <v>33000296</v>
      </c>
      <c r="C154" s="1716">
        <v>5892386</v>
      </c>
      <c r="D154" s="1713">
        <v>8692126</v>
      </c>
      <c r="E154" s="1713">
        <v>12305000</v>
      </c>
      <c r="F154" s="1713">
        <v>5657500</v>
      </c>
      <c r="G154" s="1713">
        <v>3566880</v>
      </c>
      <c r="H154" s="1713">
        <v>1472245</v>
      </c>
      <c r="I154" s="1713">
        <v>0</v>
      </c>
      <c r="J154" s="1713">
        <v>70586433</v>
      </c>
      <c r="K154" s="1714">
        <v>37586137</v>
      </c>
      <c r="M154" s="1525"/>
      <c r="N154" s="1525"/>
    </row>
    <row r="155" spans="1:14" hidden="1">
      <c r="A155" s="176" t="s">
        <v>13</v>
      </c>
      <c r="B155" s="1715">
        <v>29758884</v>
      </c>
      <c r="C155" s="1716">
        <v>28142383</v>
      </c>
      <c r="D155" s="1713">
        <v>1674979</v>
      </c>
      <c r="E155" s="1713">
        <v>1178198</v>
      </c>
      <c r="F155" s="1713">
        <v>1243362</v>
      </c>
      <c r="G155" s="1713">
        <v>989414</v>
      </c>
      <c r="H155" s="1713">
        <v>989414</v>
      </c>
      <c r="I155" s="1713">
        <v>494707</v>
      </c>
      <c r="J155" s="1713">
        <v>64471341</v>
      </c>
      <c r="K155" s="1714">
        <v>34712457</v>
      </c>
      <c r="M155" s="1525"/>
      <c r="N155" s="1525"/>
    </row>
    <row r="156" spans="1:14" ht="24" hidden="1">
      <c r="A156" s="176" t="s">
        <v>51</v>
      </c>
      <c r="B156" s="1715">
        <v>0</v>
      </c>
      <c r="C156" s="1716">
        <v>27618240</v>
      </c>
      <c r="D156" s="1713">
        <v>18864240</v>
      </c>
      <c r="E156" s="1713">
        <v>36547360</v>
      </c>
      <c r="F156" s="1713">
        <v>20384000</v>
      </c>
      <c r="G156" s="1713">
        <v>40060800</v>
      </c>
      <c r="H156" s="1713">
        <v>586160</v>
      </c>
      <c r="I156" s="1713">
        <v>0</v>
      </c>
      <c r="J156" s="1713">
        <v>144060800</v>
      </c>
      <c r="K156" s="1714">
        <v>144060800</v>
      </c>
      <c r="M156" s="1525"/>
      <c r="N156" s="1525"/>
    </row>
    <row r="157" spans="1:14" hidden="1">
      <c r="A157" s="176" t="s">
        <v>15</v>
      </c>
      <c r="B157" s="1715">
        <v>24092686</v>
      </c>
      <c r="C157" s="1716">
        <v>9355851</v>
      </c>
      <c r="D157" s="1713">
        <v>4774157</v>
      </c>
      <c r="E157" s="1713">
        <v>0</v>
      </c>
      <c r="F157" s="1713">
        <v>0</v>
      </c>
      <c r="G157" s="1713">
        <v>0</v>
      </c>
      <c r="H157" s="1713">
        <v>0</v>
      </c>
      <c r="I157" s="1713">
        <v>0</v>
      </c>
      <c r="J157" s="1713">
        <v>38222694</v>
      </c>
      <c r="K157" s="1714">
        <v>14130008</v>
      </c>
      <c r="M157" s="1525"/>
      <c r="N157" s="1525"/>
    </row>
    <row r="158" spans="1:14" hidden="1">
      <c r="A158" s="176" t="s">
        <v>52</v>
      </c>
      <c r="B158" s="1715">
        <v>2196030</v>
      </c>
      <c r="C158" s="1716">
        <v>15130493</v>
      </c>
      <c r="D158" s="1713">
        <v>26481351</v>
      </c>
      <c r="E158" s="1713">
        <v>14801038</v>
      </c>
      <c r="F158" s="1713">
        <v>14182860</v>
      </c>
      <c r="G158" s="1713">
        <v>0</v>
      </c>
      <c r="H158" s="1713">
        <v>0</v>
      </c>
      <c r="I158" s="1713">
        <v>0</v>
      </c>
      <c r="J158" s="1713">
        <v>72791772</v>
      </c>
      <c r="K158" s="1714">
        <v>70595742</v>
      </c>
      <c r="M158" s="1525"/>
      <c r="N158" s="1525"/>
    </row>
    <row r="159" spans="1:14" hidden="1">
      <c r="A159" s="176" t="s">
        <v>20</v>
      </c>
      <c r="B159" s="1715">
        <v>7865609</v>
      </c>
      <c r="C159" s="1716">
        <v>10137973</v>
      </c>
      <c r="D159" s="1713">
        <v>21510939</v>
      </c>
      <c r="E159" s="1713">
        <v>6735663</v>
      </c>
      <c r="F159" s="1713">
        <v>183492</v>
      </c>
      <c r="G159" s="1713">
        <v>0</v>
      </c>
      <c r="H159" s="1713">
        <v>0</v>
      </c>
      <c r="I159" s="1713">
        <v>0</v>
      </c>
      <c r="J159" s="1713">
        <v>46433676</v>
      </c>
      <c r="K159" s="1714">
        <v>38568067</v>
      </c>
      <c r="M159" s="1525"/>
      <c r="N159" s="1525"/>
    </row>
    <row r="160" spans="1:14" hidden="1">
      <c r="A160" s="176" t="s">
        <v>17</v>
      </c>
      <c r="B160" s="1715">
        <v>11379681</v>
      </c>
      <c r="C160" s="1716">
        <v>0</v>
      </c>
      <c r="D160" s="1713">
        <v>0</v>
      </c>
      <c r="E160" s="1713">
        <v>0</v>
      </c>
      <c r="F160" s="1713">
        <v>0</v>
      </c>
      <c r="G160" s="1713">
        <v>0</v>
      </c>
      <c r="H160" s="1713">
        <v>0</v>
      </c>
      <c r="I160" s="1713">
        <v>0</v>
      </c>
      <c r="J160" s="1713">
        <v>11379681</v>
      </c>
      <c r="K160" s="1714">
        <v>0</v>
      </c>
      <c r="M160" s="1525"/>
      <c r="N160" s="1525"/>
    </row>
    <row r="161" spans="1:14" hidden="1">
      <c r="A161" s="1717" t="s">
        <v>53</v>
      </c>
      <c r="B161" s="1715">
        <v>0</v>
      </c>
      <c r="C161" s="1716">
        <v>0</v>
      </c>
      <c r="D161" s="1713">
        <v>0</v>
      </c>
      <c r="E161" s="1713">
        <v>0</v>
      </c>
      <c r="F161" s="1713">
        <v>0</v>
      </c>
      <c r="G161" s="1713">
        <v>0</v>
      </c>
      <c r="H161" s="1713">
        <v>0</v>
      </c>
      <c r="I161" s="1713">
        <v>0</v>
      </c>
      <c r="J161" s="1713">
        <v>0</v>
      </c>
      <c r="K161" s="1714">
        <v>0</v>
      </c>
      <c r="L161" s="260"/>
      <c r="M161" s="1525"/>
      <c r="N161" s="1525"/>
    </row>
    <row r="162" spans="1:14" hidden="1">
      <c r="A162" s="1718" t="s">
        <v>19</v>
      </c>
      <c r="B162" s="1715">
        <v>0</v>
      </c>
      <c r="C162" s="1720">
        <v>0</v>
      </c>
      <c r="D162" s="1719">
        <v>0</v>
      </c>
      <c r="E162" s="1719">
        <v>0</v>
      </c>
      <c r="F162" s="1719">
        <v>0</v>
      </c>
      <c r="G162" s="1719">
        <v>0</v>
      </c>
      <c r="H162" s="1719">
        <v>0</v>
      </c>
      <c r="I162" s="1719">
        <v>0</v>
      </c>
      <c r="J162" s="1713">
        <v>0</v>
      </c>
      <c r="K162" s="1714">
        <v>0</v>
      </c>
      <c r="M162" s="1525"/>
      <c r="N162" s="1525"/>
    </row>
    <row r="163" spans="1:14" ht="13.5" hidden="1" thickBot="1">
      <c r="A163" s="868" t="s">
        <v>21</v>
      </c>
      <c r="B163" s="1721">
        <v>205456816</v>
      </c>
      <c r="C163" s="1724">
        <v>271875051</v>
      </c>
      <c r="D163" s="1721">
        <v>398105299</v>
      </c>
      <c r="E163" s="1721">
        <v>80593787</v>
      </c>
      <c r="F163" s="1721">
        <v>54245031</v>
      </c>
      <c r="G163" s="1721">
        <v>32483629</v>
      </c>
      <c r="H163" s="1721">
        <v>32292574</v>
      </c>
      <c r="I163" s="1721">
        <v>30632704</v>
      </c>
      <c r="J163" s="1721">
        <v>1105684891</v>
      </c>
      <c r="K163" s="1722">
        <v>900228075</v>
      </c>
      <c r="M163" s="1525"/>
      <c r="N163" s="1525"/>
    </row>
    <row r="164" spans="1:14" hidden="1">
      <c r="A164" s="1725"/>
      <c r="B164" s="1727">
        <f t="shared" ref="B164:J164" si="94">SUM(B153:B163)</f>
        <v>727872788.29999995</v>
      </c>
      <c r="C164" s="1726">
        <f t="shared" ref="C164:I164" si="95">SUM(C153:C163)</f>
        <v>564353135</v>
      </c>
      <c r="D164" s="1726">
        <f t="shared" si="95"/>
        <v>747774116</v>
      </c>
      <c r="E164" s="1726">
        <f t="shared" si="95"/>
        <v>357110432</v>
      </c>
      <c r="F164" s="1726">
        <f t="shared" si="95"/>
        <v>279353936</v>
      </c>
      <c r="G164" s="1726">
        <f t="shared" si="95"/>
        <v>88698497</v>
      </c>
      <c r="H164" s="1726">
        <f t="shared" si="95"/>
        <v>44860247</v>
      </c>
      <c r="I164" s="1726">
        <f t="shared" si="95"/>
        <v>39747805</v>
      </c>
      <c r="J164" s="1726">
        <f t="shared" si="94"/>
        <v>2884078403.3000002</v>
      </c>
      <c r="K164" s="1726">
        <f>SUM(K153:K163)</f>
        <v>2156205615</v>
      </c>
    </row>
    <row r="165" spans="1:14" hidden="1">
      <c r="A165" s="1728" t="s">
        <v>42</v>
      </c>
      <c r="B165" s="1730">
        <f t="shared" ref="B165:K165" si="96">+B164-B152</f>
        <v>0</v>
      </c>
      <c r="C165" s="1729">
        <f>+C164-C152</f>
        <v>0</v>
      </c>
      <c r="D165" s="1729">
        <f>+D164-D152</f>
        <v>0</v>
      </c>
      <c r="E165" s="1729">
        <f>+E164-E152</f>
        <v>0</v>
      </c>
      <c r="F165" s="1729">
        <f>+F164-F152</f>
        <v>0</v>
      </c>
      <c r="G165" s="1729"/>
      <c r="H165" s="1729"/>
      <c r="I165" s="1729"/>
      <c r="J165" s="1729">
        <f t="shared" si="96"/>
        <v>0</v>
      </c>
      <c r="K165" s="1729">
        <f t="shared" si="96"/>
        <v>0</v>
      </c>
    </row>
    <row r="166" spans="1:14" ht="3.75" hidden="1" customHeight="1" thickBot="1">
      <c r="A166" s="1686"/>
      <c r="B166" s="1731"/>
      <c r="C166" s="1731"/>
      <c r="D166" s="1731"/>
      <c r="E166" s="1731"/>
      <c r="F166" s="1731"/>
      <c r="G166" s="1731"/>
      <c r="H166" s="1731"/>
      <c r="I166" s="1731"/>
      <c r="J166" s="1731"/>
    </row>
    <row r="167" spans="1:14" ht="32.25" hidden="1" customHeight="1" thickBot="1">
      <c r="A167" s="1732" t="s">
        <v>554</v>
      </c>
      <c r="B167" s="1733">
        <f>SUM(B168:B179)</f>
        <v>319401738</v>
      </c>
      <c r="C167" s="1734">
        <f t="shared" ref="C167:J167" si="97">SUM(C168:C179)</f>
        <v>374131986.70000005</v>
      </c>
      <c r="D167" s="1733">
        <f t="shared" si="97"/>
        <v>467634545</v>
      </c>
      <c r="E167" s="1733">
        <f>SUM(E168:E179)</f>
        <v>178631500</v>
      </c>
      <c r="F167" s="1733">
        <f>SUM(F168:F179)</f>
        <v>113846182</v>
      </c>
      <c r="G167" s="1733">
        <f>SUM(G168:G179)</f>
        <v>75818447</v>
      </c>
      <c r="H167" s="1733">
        <f>SUM(H168:H179)</f>
        <v>35438612</v>
      </c>
      <c r="I167" s="1733">
        <f>SUM(I168:I179)</f>
        <v>31488446</v>
      </c>
      <c r="J167" s="1733">
        <f t="shared" si="97"/>
        <v>1598420891.6999998</v>
      </c>
      <c r="K167" s="1735"/>
    </row>
    <row r="168" spans="1:14" hidden="1">
      <c r="A168" s="1712" t="s">
        <v>54</v>
      </c>
      <c r="B168" s="1736">
        <v>0</v>
      </c>
      <c r="C168" s="1737">
        <v>0</v>
      </c>
      <c r="D168" s="1736">
        <v>0</v>
      </c>
      <c r="E168" s="1736">
        <v>0</v>
      </c>
      <c r="F168" s="1736">
        <v>0</v>
      </c>
      <c r="G168" s="1738">
        <v>0</v>
      </c>
      <c r="H168" s="1738">
        <v>0</v>
      </c>
      <c r="I168" s="1738">
        <v>0</v>
      </c>
      <c r="J168" s="1713">
        <v>0</v>
      </c>
      <c r="K168" s="1739"/>
    </row>
    <row r="169" spans="1:14" hidden="1">
      <c r="A169" s="176" t="s">
        <v>13</v>
      </c>
      <c r="B169" s="1713">
        <v>29729045</v>
      </c>
      <c r="C169" s="1716">
        <v>28106448.600000001</v>
      </c>
      <c r="D169" s="1713">
        <v>1714449</v>
      </c>
      <c r="E169" s="1713">
        <v>1178197</v>
      </c>
      <c r="F169" s="1713">
        <v>1243362</v>
      </c>
      <c r="G169" s="1713">
        <v>1015718</v>
      </c>
      <c r="H169" s="1713">
        <v>989414</v>
      </c>
      <c r="I169" s="1713">
        <v>494707</v>
      </c>
      <c r="J169" s="1713">
        <v>64471340.600000001</v>
      </c>
      <c r="K169" s="1739"/>
    </row>
    <row r="170" spans="1:14" ht="14.25" hidden="1" customHeight="1">
      <c r="A170" s="176" t="s">
        <v>15</v>
      </c>
      <c r="B170" s="1713">
        <v>24092686</v>
      </c>
      <c r="C170" s="1716">
        <v>9355851</v>
      </c>
      <c r="D170" s="1713">
        <v>4774157</v>
      </c>
      <c r="E170" s="1713">
        <v>0</v>
      </c>
      <c r="F170" s="1713">
        <v>0</v>
      </c>
      <c r="G170" s="1713">
        <v>0</v>
      </c>
      <c r="H170" s="1713">
        <v>0</v>
      </c>
      <c r="I170" s="1713">
        <v>0</v>
      </c>
      <c r="J170" s="1713">
        <v>38222694</v>
      </c>
      <c r="K170" s="1739"/>
    </row>
    <row r="171" spans="1:14" ht="14.25" hidden="1" customHeight="1">
      <c r="A171" s="176" t="s">
        <v>52</v>
      </c>
      <c r="B171" s="1713">
        <v>30968091</v>
      </c>
      <c r="C171" s="1716">
        <v>11961826</v>
      </c>
      <c r="D171" s="1713">
        <v>9319285</v>
      </c>
      <c r="E171" s="1713">
        <v>12123285</v>
      </c>
      <c r="F171" s="1713">
        <v>8419285</v>
      </c>
      <c r="G171" s="1713">
        <v>0</v>
      </c>
      <c r="H171" s="1713">
        <v>0</v>
      </c>
      <c r="I171" s="1713">
        <v>0</v>
      </c>
      <c r="J171" s="1713">
        <v>72791772</v>
      </c>
      <c r="K171" s="1739"/>
    </row>
    <row r="172" spans="1:14" hidden="1">
      <c r="A172" s="1712" t="s">
        <v>12</v>
      </c>
      <c r="B172" s="1713">
        <v>23178951</v>
      </c>
      <c r="C172" s="1716">
        <v>13959800</v>
      </c>
      <c r="D172" s="1713">
        <v>21313957</v>
      </c>
      <c r="E172" s="1713">
        <v>27636300</v>
      </c>
      <c r="F172" s="1713">
        <v>25636300</v>
      </c>
      <c r="G172" s="1713">
        <v>2000000</v>
      </c>
      <c r="H172" s="1713">
        <v>1650729</v>
      </c>
      <c r="I172" s="1713">
        <v>0</v>
      </c>
      <c r="J172" s="1713">
        <v>115376037</v>
      </c>
      <c r="K172" s="1739"/>
    </row>
    <row r="173" spans="1:14" hidden="1">
      <c r="A173" s="176" t="s">
        <v>57</v>
      </c>
      <c r="B173" s="1713">
        <v>0</v>
      </c>
      <c r="C173" s="1716">
        <v>27618240</v>
      </c>
      <c r="D173" s="1713">
        <v>18864240</v>
      </c>
      <c r="E173" s="1713">
        <v>36547360</v>
      </c>
      <c r="F173" s="1713">
        <v>20384000</v>
      </c>
      <c r="G173" s="1713">
        <v>40060800</v>
      </c>
      <c r="H173" s="1713">
        <v>586160</v>
      </c>
      <c r="I173" s="1713">
        <v>0</v>
      </c>
      <c r="J173" s="1713">
        <v>144060800</v>
      </c>
      <c r="K173" s="1739"/>
    </row>
    <row r="174" spans="1:14" hidden="1">
      <c r="A174" s="176" t="s">
        <v>58</v>
      </c>
      <c r="B174" s="1713">
        <v>0</v>
      </c>
      <c r="C174" s="1716">
        <v>0</v>
      </c>
      <c r="D174" s="1713">
        <v>0</v>
      </c>
      <c r="E174" s="1713">
        <v>0</v>
      </c>
      <c r="F174" s="1713">
        <v>0</v>
      </c>
      <c r="G174" s="1713">
        <v>0</v>
      </c>
      <c r="H174" s="1713">
        <v>0</v>
      </c>
      <c r="I174" s="1713">
        <v>0</v>
      </c>
      <c r="J174" s="1713">
        <v>0</v>
      </c>
      <c r="K174" s="1739"/>
    </row>
    <row r="175" spans="1:14" hidden="1">
      <c r="A175" s="176" t="s">
        <v>17</v>
      </c>
      <c r="B175" s="1713">
        <v>11379681</v>
      </c>
      <c r="C175" s="1716">
        <v>0</v>
      </c>
      <c r="D175" s="1713">
        <v>0</v>
      </c>
      <c r="E175" s="1713">
        <v>0</v>
      </c>
      <c r="F175" s="1713">
        <v>0</v>
      </c>
      <c r="G175" s="1713">
        <v>0</v>
      </c>
      <c r="H175" s="1713">
        <v>0</v>
      </c>
      <c r="I175" s="1713">
        <v>0</v>
      </c>
      <c r="J175" s="1713">
        <v>11379681</v>
      </c>
      <c r="K175" s="1739"/>
    </row>
    <row r="176" spans="1:14" ht="24" hidden="1">
      <c r="A176" s="176" t="s">
        <v>26</v>
      </c>
      <c r="B176" s="1740">
        <v>0</v>
      </c>
      <c r="C176" s="1741">
        <v>0</v>
      </c>
      <c r="D176" s="1740">
        <v>0</v>
      </c>
      <c r="E176" s="1740">
        <v>0</v>
      </c>
      <c r="F176" s="1740">
        <v>0</v>
      </c>
      <c r="G176" s="1740">
        <v>0</v>
      </c>
      <c r="H176" s="1740">
        <v>0</v>
      </c>
      <c r="I176" s="1740">
        <v>0</v>
      </c>
      <c r="J176" s="1713">
        <v>0</v>
      </c>
      <c r="K176" s="1742"/>
    </row>
    <row r="177" spans="1:11" ht="13.5" hidden="1" customHeight="1">
      <c r="A177" s="176" t="s">
        <v>20</v>
      </c>
      <c r="B177" s="1713">
        <v>9417736</v>
      </c>
      <c r="C177" s="1716">
        <v>527021</v>
      </c>
      <c r="D177" s="1713">
        <v>18773293</v>
      </c>
      <c r="E177" s="1713">
        <v>14210616</v>
      </c>
      <c r="F177" s="1713">
        <v>3359879</v>
      </c>
      <c r="G177" s="1713">
        <v>145131</v>
      </c>
      <c r="H177" s="1713">
        <v>0</v>
      </c>
      <c r="I177" s="1713">
        <v>0</v>
      </c>
      <c r="J177" s="1713">
        <v>46433676</v>
      </c>
      <c r="K177" s="1739"/>
    </row>
    <row r="178" spans="1:11" ht="14.25" hidden="1" customHeight="1">
      <c r="A178" s="1743" t="s">
        <v>19</v>
      </c>
      <c r="B178" s="1713">
        <v>0</v>
      </c>
      <c r="C178" s="1720">
        <v>0</v>
      </c>
      <c r="D178" s="1719">
        <v>0</v>
      </c>
      <c r="E178" s="1719">
        <v>0</v>
      </c>
      <c r="F178" s="1719">
        <v>0</v>
      </c>
      <c r="G178" s="1719">
        <v>0</v>
      </c>
      <c r="H178" s="1719">
        <v>0</v>
      </c>
      <c r="I178" s="1719">
        <v>0</v>
      </c>
      <c r="J178" s="1713">
        <v>0</v>
      </c>
      <c r="K178" s="1739"/>
    </row>
    <row r="179" spans="1:11" ht="13.5" hidden="1" thickBot="1">
      <c r="A179" s="868" t="s">
        <v>21</v>
      </c>
      <c r="B179" s="1723">
        <v>190635548</v>
      </c>
      <c r="C179" s="1724">
        <v>282602800.10000002</v>
      </c>
      <c r="D179" s="1721">
        <v>392875164</v>
      </c>
      <c r="E179" s="1721">
        <v>86935742</v>
      </c>
      <c r="F179" s="1721">
        <v>54803356</v>
      </c>
      <c r="G179" s="1721">
        <v>32596798</v>
      </c>
      <c r="H179" s="1721">
        <v>32212309</v>
      </c>
      <c r="I179" s="1721">
        <v>30993739</v>
      </c>
      <c r="J179" s="1713">
        <v>1105684891.0999999</v>
      </c>
      <c r="K179" s="1739"/>
    </row>
    <row r="180" spans="1:11" hidden="1">
      <c r="A180" s="1744"/>
      <c r="B180" s="1746">
        <f t="shared" ref="B180:J180" si="98">SUM(B168:B179)</f>
        <v>319401738</v>
      </c>
      <c r="C180" s="1745">
        <f t="shared" si="98"/>
        <v>374131986.70000005</v>
      </c>
      <c r="D180" s="1745">
        <f t="shared" si="98"/>
        <v>467634545</v>
      </c>
      <c r="E180" s="1745">
        <f t="shared" si="98"/>
        <v>178631500</v>
      </c>
      <c r="F180" s="1745">
        <f t="shared" si="98"/>
        <v>113846182</v>
      </c>
      <c r="G180" s="1745">
        <f t="shared" si="98"/>
        <v>75818447</v>
      </c>
      <c r="H180" s="1745">
        <f t="shared" si="98"/>
        <v>35438612</v>
      </c>
      <c r="I180" s="1745">
        <f t="shared" si="98"/>
        <v>31488446</v>
      </c>
      <c r="J180" s="1745">
        <f t="shared" si="98"/>
        <v>1598420891.6999998</v>
      </c>
      <c r="K180" s="1747"/>
    </row>
    <row r="181" spans="1:11" ht="17.25" hidden="1" customHeight="1" thickBot="1">
      <c r="A181" s="1748"/>
      <c r="B181" s="1703" t="s">
        <v>555</v>
      </c>
      <c r="C181" s="1656" t="s">
        <v>5</v>
      </c>
      <c r="D181" s="1657" t="s">
        <v>6</v>
      </c>
      <c r="E181" s="1657" t="s">
        <v>229</v>
      </c>
      <c r="F181" s="1657" t="s">
        <v>231</v>
      </c>
      <c r="G181" s="1657" t="s">
        <v>286</v>
      </c>
      <c r="H181" s="1657" t="s">
        <v>287</v>
      </c>
      <c r="I181" s="1657" t="s">
        <v>285</v>
      </c>
      <c r="J181" s="1658" t="s">
        <v>46</v>
      </c>
    </row>
    <row r="182" spans="1:11" ht="9" hidden="1" customHeight="1">
      <c r="A182" s="1749"/>
      <c r="B182" s="1751"/>
      <c r="C182" s="1752"/>
      <c r="D182" s="1750"/>
      <c r="E182" s="1750"/>
      <c r="F182" s="1750"/>
      <c r="G182" s="1750"/>
      <c r="H182" s="1750"/>
      <c r="I182" s="1750"/>
      <c r="J182" s="1750"/>
      <c r="K182" s="1753"/>
    </row>
    <row r="183" spans="1:11" ht="13.5" hidden="1" thickBot="1">
      <c r="A183" s="1754" t="s">
        <v>59</v>
      </c>
      <c r="B183" s="1755">
        <f>+B121-B152</f>
        <v>-12466748</v>
      </c>
      <c r="C183" s="1756">
        <f t="shared" ref="C183:J183" si="99">+C121-C152</f>
        <v>-19070040</v>
      </c>
      <c r="D183" s="1755">
        <f t="shared" si="99"/>
        <v>11947818</v>
      </c>
      <c r="E183" s="1755">
        <f t="shared" si="99"/>
        <v>6148100</v>
      </c>
      <c r="F183" s="1755">
        <f t="shared" si="99"/>
        <v>3810000</v>
      </c>
      <c r="G183" s="1755">
        <f t="shared" si="99"/>
        <v>3945000</v>
      </c>
      <c r="H183" s="1755">
        <f t="shared" si="99"/>
        <v>0</v>
      </c>
      <c r="I183" s="1755">
        <f t="shared" si="99"/>
        <v>87</v>
      </c>
      <c r="J183" s="1755">
        <f t="shared" si="99"/>
        <v>-39993230</v>
      </c>
      <c r="K183" s="1757"/>
    </row>
    <row r="184" spans="1:11" hidden="1">
      <c r="A184" s="1758" t="s">
        <v>12</v>
      </c>
      <c r="B184" s="1759">
        <f t="shared" ref="B184:J184" si="100">+B122-B153</f>
        <v>-2566525</v>
      </c>
      <c r="C184" s="1760">
        <f t="shared" si="100"/>
        <v>-1532068</v>
      </c>
      <c r="D184" s="1759">
        <f t="shared" si="100"/>
        <v>-436628</v>
      </c>
      <c r="E184" s="1759">
        <f t="shared" si="100"/>
        <v>828715</v>
      </c>
      <c r="F184" s="1759">
        <f t="shared" si="100"/>
        <v>3810000</v>
      </c>
      <c r="G184" s="1759">
        <f t="shared" si="100"/>
        <v>3945000</v>
      </c>
      <c r="H184" s="1759">
        <f t="shared" si="100"/>
        <v>0</v>
      </c>
      <c r="I184" s="1759">
        <f t="shared" si="100"/>
        <v>13</v>
      </c>
      <c r="J184" s="1761">
        <f t="shared" si="100"/>
        <v>-30258940</v>
      </c>
      <c r="K184" s="1762"/>
    </row>
    <row r="185" spans="1:11" hidden="1">
      <c r="A185" s="1763" t="s">
        <v>50</v>
      </c>
      <c r="B185" s="1761">
        <f t="shared" ref="B185:J185" si="101">+B123-B154</f>
        <v>0</v>
      </c>
      <c r="C185" s="1764">
        <f t="shared" si="101"/>
        <v>0</v>
      </c>
      <c r="D185" s="1761">
        <f t="shared" si="101"/>
        <v>0</v>
      </c>
      <c r="E185" s="1761">
        <f t="shared" si="101"/>
        <v>0</v>
      </c>
      <c r="F185" s="1761">
        <f t="shared" si="101"/>
        <v>0</v>
      </c>
      <c r="G185" s="1761">
        <f t="shared" si="101"/>
        <v>0</v>
      </c>
      <c r="H185" s="1761">
        <f t="shared" si="101"/>
        <v>0</v>
      </c>
      <c r="I185" s="1761">
        <f t="shared" si="101"/>
        <v>0</v>
      </c>
      <c r="J185" s="1761">
        <f t="shared" si="101"/>
        <v>0</v>
      </c>
      <c r="K185" s="1762"/>
    </row>
    <row r="186" spans="1:11" hidden="1">
      <c r="A186" s="1763" t="s">
        <v>13</v>
      </c>
      <c r="B186" s="1761">
        <f t="shared" ref="B186:J186" si="102">+B124-B155</f>
        <v>0</v>
      </c>
      <c r="C186" s="1764">
        <f t="shared" si="102"/>
        <v>0</v>
      </c>
      <c r="D186" s="1761">
        <f t="shared" si="102"/>
        <v>0</v>
      </c>
      <c r="E186" s="1761">
        <f t="shared" si="102"/>
        <v>0</v>
      </c>
      <c r="F186" s="1761">
        <f t="shared" si="102"/>
        <v>0</v>
      </c>
      <c r="G186" s="1761">
        <f t="shared" si="102"/>
        <v>0</v>
      </c>
      <c r="H186" s="1761">
        <f t="shared" si="102"/>
        <v>0</v>
      </c>
      <c r="I186" s="1761">
        <f t="shared" si="102"/>
        <v>0</v>
      </c>
      <c r="J186" s="1761">
        <f t="shared" si="102"/>
        <v>0</v>
      </c>
      <c r="K186" s="1762"/>
    </row>
    <row r="187" spans="1:11" hidden="1">
      <c r="A187" s="1763" t="s">
        <v>15</v>
      </c>
      <c r="B187" s="1761">
        <f t="shared" ref="B187:J187" si="103">+B126-B157</f>
        <v>0</v>
      </c>
      <c r="C187" s="1764">
        <f t="shared" si="103"/>
        <v>-984664</v>
      </c>
      <c r="D187" s="1761">
        <f t="shared" si="103"/>
        <v>1267664</v>
      </c>
      <c r="E187" s="1761">
        <f t="shared" si="103"/>
        <v>0</v>
      </c>
      <c r="F187" s="1761">
        <f t="shared" si="103"/>
        <v>0</v>
      </c>
      <c r="G187" s="1761">
        <f t="shared" si="103"/>
        <v>0</v>
      </c>
      <c r="H187" s="1761">
        <f t="shared" si="103"/>
        <v>0</v>
      </c>
      <c r="I187" s="1761">
        <f t="shared" si="103"/>
        <v>0</v>
      </c>
      <c r="J187" s="1761">
        <f t="shared" si="103"/>
        <v>283000</v>
      </c>
      <c r="K187" s="1762"/>
    </row>
    <row r="188" spans="1:11" hidden="1">
      <c r="A188" s="1763" t="s">
        <v>52</v>
      </c>
      <c r="B188" s="1761">
        <f t="shared" ref="B188:J188" si="104">+B127-B158</f>
        <v>0</v>
      </c>
      <c r="C188" s="1764">
        <f t="shared" si="104"/>
        <v>0</v>
      </c>
      <c r="D188" s="1761">
        <f t="shared" si="104"/>
        <v>0</v>
      </c>
      <c r="E188" s="1761">
        <f t="shared" si="104"/>
        <v>0</v>
      </c>
      <c r="F188" s="1761">
        <f t="shared" si="104"/>
        <v>0</v>
      </c>
      <c r="G188" s="1761">
        <f t="shared" si="104"/>
        <v>0</v>
      </c>
      <c r="H188" s="1761">
        <f t="shared" si="104"/>
        <v>0</v>
      </c>
      <c r="I188" s="1761">
        <f t="shared" si="104"/>
        <v>0</v>
      </c>
      <c r="J188" s="1761">
        <f t="shared" si="104"/>
        <v>0</v>
      </c>
      <c r="K188" s="1762"/>
    </row>
    <row r="189" spans="1:11" hidden="1">
      <c r="A189" s="1763" t="s">
        <v>20</v>
      </c>
      <c r="B189" s="1761">
        <f>+B128-B159</f>
        <v>0</v>
      </c>
      <c r="C189" s="1764">
        <f t="shared" ref="C189:J190" si="105">+C128-C159</f>
        <v>0</v>
      </c>
      <c r="D189" s="1761">
        <f t="shared" si="105"/>
        <v>0</v>
      </c>
      <c r="E189" s="1761">
        <f t="shared" ref="E189:I190" si="106">+E128-E159</f>
        <v>0</v>
      </c>
      <c r="F189" s="1761">
        <f t="shared" si="106"/>
        <v>0</v>
      </c>
      <c r="G189" s="1761">
        <f t="shared" si="106"/>
        <v>0</v>
      </c>
      <c r="H189" s="1761">
        <f t="shared" si="106"/>
        <v>0</v>
      </c>
      <c r="I189" s="1761">
        <f t="shared" si="106"/>
        <v>0</v>
      </c>
      <c r="J189" s="1761">
        <f t="shared" si="105"/>
        <v>0</v>
      </c>
      <c r="K189" s="1762"/>
    </row>
    <row r="190" spans="1:11" hidden="1">
      <c r="A190" s="1763" t="s">
        <v>17</v>
      </c>
      <c r="B190" s="1761">
        <f>+B129-B160</f>
        <v>0</v>
      </c>
      <c r="C190" s="1764">
        <f t="shared" si="105"/>
        <v>0</v>
      </c>
      <c r="D190" s="1761">
        <f t="shared" si="105"/>
        <v>0</v>
      </c>
      <c r="E190" s="1761">
        <f t="shared" si="106"/>
        <v>0</v>
      </c>
      <c r="F190" s="1761">
        <f t="shared" si="106"/>
        <v>0</v>
      </c>
      <c r="G190" s="1761">
        <f t="shared" si="106"/>
        <v>0</v>
      </c>
      <c r="H190" s="1761">
        <f t="shared" si="106"/>
        <v>0</v>
      </c>
      <c r="I190" s="1761">
        <f t="shared" si="106"/>
        <v>0</v>
      </c>
      <c r="J190" s="1761">
        <f t="shared" si="105"/>
        <v>0</v>
      </c>
      <c r="K190" s="1762"/>
    </row>
    <row r="191" spans="1:11" hidden="1">
      <c r="A191" s="1763" t="s">
        <v>57</v>
      </c>
      <c r="B191" s="1761">
        <f t="shared" ref="B191:J191" si="107">+B125-B156</f>
        <v>0</v>
      </c>
      <c r="C191" s="1764">
        <f t="shared" si="107"/>
        <v>0</v>
      </c>
      <c r="D191" s="1761">
        <f t="shared" si="107"/>
        <v>0</v>
      </c>
      <c r="E191" s="1761">
        <f t="shared" si="107"/>
        <v>0</v>
      </c>
      <c r="F191" s="1761">
        <f t="shared" si="107"/>
        <v>0</v>
      </c>
      <c r="G191" s="1761">
        <f t="shared" si="107"/>
        <v>0</v>
      </c>
      <c r="H191" s="1761">
        <f t="shared" si="107"/>
        <v>0</v>
      </c>
      <c r="I191" s="1761">
        <f t="shared" si="107"/>
        <v>0</v>
      </c>
      <c r="J191" s="1761">
        <f t="shared" si="107"/>
        <v>0</v>
      </c>
      <c r="K191" s="1762"/>
    </row>
    <row r="192" spans="1:11" ht="13.5" hidden="1" customHeight="1">
      <c r="A192" s="1763" t="s">
        <v>56</v>
      </c>
      <c r="B192" s="1761">
        <f>+B130-B161</f>
        <v>0</v>
      </c>
      <c r="C192" s="1764">
        <f t="shared" ref="C192:J194" si="108">+C130-C161</f>
        <v>0</v>
      </c>
      <c r="D192" s="1761">
        <f t="shared" si="108"/>
        <v>0</v>
      </c>
      <c r="E192" s="1761">
        <f t="shared" ref="E192:I194" si="109">+E130-E161</f>
        <v>0</v>
      </c>
      <c r="F192" s="1761">
        <f t="shared" si="109"/>
        <v>0</v>
      </c>
      <c r="G192" s="1761">
        <f t="shared" si="109"/>
        <v>0</v>
      </c>
      <c r="H192" s="1761">
        <f t="shared" si="109"/>
        <v>0</v>
      </c>
      <c r="I192" s="1761">
        <f t="shared" si="109"/>
        <v>0</v>
      </c>
      <c r="J192" s="1761">
        <f t="shared" si="108"/>
        <v>0</v>
      </c>
      <c r="K192" s="1762"/>
    </row>
    <row r="193" spans="1:16" ht="13.5" hidden="1" customHeight="1">
      <c r="A193" s="1765" t="s">
        <v>19</v>
      </c>
      <c r="B193" s="1761">
        <f>+B131-B162</f>
        <v>0</v>
      </c>
      <c r="C193" s="1764">
        <f t="shared" si="108"/>
        <v>0</v>
      </c>
      <c r="D193" s="1761">
        <f t="shared" si="108"/>
        <v>0</v>
      </c>
      <c r="E193" s="1761">
        <f t="shared" si="109"/>
        <v>0</v>
      </c>
      <c r="F193" s="1761">
        <f t="shared" si="109"/>
        <v>0</v>
      </c>
      <c r="G193" s="1761">
        <f t="shared" si="109"/>
        <v>0</v>
      </c>
      <c r="H193" s="1761">
        <f t="shared" si="109"/>
        <v>0</v>
      </c>
      <c r="I193" s="1761">
        <f t="shared" si="109"/>
        <v>0</v>
      </c>
      <c r="J193" s="1761">
        <f t="shared" si="108"/>
        <v>0</v>
      </c>
      <c r="K193" s="1762"/>
    </row>
    <row r="194" spans="1:16" ht="13.5" hidden="1" thickBot="1">
      <c r="A194" s="1766" t="s">
        <v>21</v>
      </c>
      <c r="B194" s="1767">
        <f>+B132-B163</f>
        <v>-9900223</v>
      </c>
      <c r="C194" s="1768">
        <f t="shared" si="108"/>
        <v>-16553308</v>
      </c>
      <c r="D194" s="1767">
        <f t="shared" si="108"/>
        <v>11116782</v>
      </c>
      <c r="E194" s="1767">
        <f t="shared" si="109"/>
        <v>5319385</v>
      </c>
      <c r="F194" s="1767">
        <f t="shared" si="109"/>
        <v>0</v>
      </c>
      <c r="G194" s="1767">
        <f t="shared" si="109"/>
        <v>0</v>
      </c>
      <c r="H194" s="1767">
        <f t="shared" si="109"/>
        <v>0</v>
      </c>
      <c r="I194" s="1767">
        <f t="shared" si="109"/>
        <v>74</v>
      </c>
      <c r="J194" s="1761">
        <f>+J132-J163</f>
        <v>-10017290</v>
      </c>
      <c r="K194" s="1762">
        <f>+J194-J209</f>
        <v>0</v>
      </c>
      <c r="P194" s="1525">
        <f>+J194-J209</f>
        <v>0</v>
      </c>
    </row>
    <row r="195" spans="1:16" ht="15" hidden="1" customHeight="1" thickBot="1">
      <c r="A195" s="1769"/>
      <c r="B195" s="1770">
        <f>SUM(B184:B194)</f>
        <v>-12466748</v>
      </c>
      <c r="C195" s="1771">
        <f t="shared" ref="C195:J195" si="110">SUM(C184:C194)</f>
        <v>-19070040</v>
      </c>
      <c r="D195" s="1770">
        <f t="shared" si="110"/>
        <v>11947818</v>
      </c>
      <c r="E195" s="1770">
        <f>SUM(E184:E194)</f>
        <v>6148100</v>
      </c>
      <c r="F195" s="1770">
        <f>SUM(F184:F194)</f>
        <v>3810000</v>
      </c>
      <c r="G195" s="1770">
        <f>SUM(G184:G194)</f>
        <v>3945000</v>
      </c>
      <c r="H195" s="1770">
        <f>SUM(H184:H194)</f>
        <v>0</v>
      </c>
      <c r="I195" s="1770">
        <f>SUM(I184:I194)</f>
        <v>87</v>
      </c>
      <c r="J195" s="1770">
        <f t="shared" si="110"/>
        <v>-39993230</v>
      </c>
      <c r="K195" s="1772"/>
    </row>
    <row r="196" spans="1:16" ht="14.25" hidden="1" customHeight="1" thickBot="1">
      <c r="A196" s="1773" t="s">
        <v>42</v>
      </c>
      <c r="B196" s="1775">
        <f t="shared" ref="B196:J196" si="111">+B121-B152</f>
        <v>-12466748</v>
      </c>
      <c r="C196" s="1774">
        <f t="shared" si="111"/>
        <v>-19070040</v>
      </c>
      <c r="D196" s="1774">
        <f t="shared" si="111"/>
        <v>11947818</v>
      </c>
      <c r="E196" s="1774">
        <f t="shared" si="111"/>
        <v>6148100</v>
      </c>
      <c r="F196" s="1774">
        <f t="shared" si="111"/>
        <v>3810000</v>
      </c>
      <c r="G196" s="1774">
        <f t="shared" si="111"/>
        <v>3945000</v>
      </c>
      <c r="H196" s="1774">
        <f t="shared" si="111"/>
        <v>0</v>
      </c>
      <c r="I196" s="1774">
        <f t="shared" si="111"/>
        <v>87</v>
      </c>
      <c r="J196" s="1774">
        <f t="shared" si="111"/>
        <v>-39993230</v>
      </c>
      <c r="K196" s="1774"/>
    </row>
    <row r="197" spans="1:16" ht="16.5" hidden="1" customHeight="1" thickBot="1">
      <c r="A197" s="1776" t="s">
        <v>60</v>
      </c>
      <c r="B197" s="1777">
        <f t="shared" ref="B197:J209" si="112">+B135-B167</f>
        <v>-9900223</v>
      </c>
      <c r="C197" s="1778">
        <f t="shared" si="112"/>
        <v>-33508239.00000006</v>
      </c>
      <c r="D197" s="1777">
        <f t="shared" si="112"/>
        <v>28354713</v>
      </c>
      <c r="E197" s="1777">
        <f t="shared" ref="E197:I209" si="113">+E135-E167</f>
        <v>5319385</v>
      </c>
      <c r="F197" s="1777">
        <f t="shared" si="113"/>
        <v>0</v>
      </c>
      <c r="G197" s="1777">
        <f t="shared" si="113"/>
        <v>0</v>
      </c>
      <c r="H197" s="1777">
        <f t="shared" si="113"/>
        <v>0</v>
      </c>
      <c r="I197" s="1777">
        <f t="shared" si="113"/>
        <v>74</v>
      </c>
      <c r="J197" s="1777">
        <f>SUM(J198:J209)</f>
        <v>-9734290</v>
      </c>
      <c r="K197" s="1779"/>
    </row>
    <row r="198" spans="1:16" hidden="1">
      <c r="A198" s="1758" t="s">
        <v>54</v>
      </c>
      <c r="B198" s="1759">
        <f t="shared" ref="B198:B209" si="114">+B136-B168</f>
        <v>0</v>
      </c>
      <c r="C198" s="1760">
        <f t="shared" si="112"/>
        <v>0</v>
      </c>
      <c r="D198" s="1759">
        <f t="shared" si="112"/>
        <v>0</v>
      </c>
      <c r="E198" s="1759">
        <f t="shared" si="113"/>
        <v>0</v>
      </c>
      <c r="F198" s="1759">
        <f t="shared" si="113"/>
        <v>0</v>
      </c>
      <c r="G198" s="1759">
        <f t="shared" si="113"/>
        <v>0</v>
      </c>
      <c r="H198" s="1759">
        <f t="shared" si="113"/>
        <v>0</v>
      </c>
      <c r="I198" s="1759">
        <f t="shared" si="113"/>
        <v>0</v>
      </c>
      <c r="J198" s="1780">
        <f>+J136-J168</f>
        <v>0</v>
      </c>
      <c r="K198" s="1781"/>
    </row>
    <row r="199" spans="1:16" hidden="1">
      <c r="A199" s="1763" t="s">
        <v>13</v>
      </c>
      <c r="B199" s="1761">
        <f t="shared" si="114"/>
        <v>0</v>
      </c>
      <c r="C199" s="1764">
        <f t="shared" si="112"/>
        <v>0</v>
      </c>
      <c r="D199" s="1761">
        <f t="shared" si="112"/>
        <v>0</v>
      </c>
      <c r="E199" s="1761">
        <f t="shared" si="113"/>
        <v>0</v>
      </c>
      <c r="F199" s="1761">
        <f t="shared" si="113"/>
        <v>0</v>
      </c>
      <c r="G199" s="1761">
        <f t="shared" si="113"/>
        <v>0</v>
      </c>
      <c r="H199" s="1761">
        <f t="shared" si="113"/>
        <v>0</v>
      </c>
      <c r="I199" s="1761">
        <f t="shared" si="113"/>
        <v>0</v>
      </c>
      <c r="J199" s="1782">
        <f t="shared" si="112"/>
        <v>0</v>
      </c>
      <c r="K199" s="1781"/>
    </row>
    <row r="200" spans="1:16" hidden="1">
      <c r="A200" s="1763" t="s">
        <v>15</v>
      </c>
      <c r="B200" s="1761">
        <f t="shared" si="114"/>
        <v>0</v>
      </c>
      <c r="C200" s="1764">
        <f t="shared" si="112"/>
        <v>-984664</v>
      </c>
      <c r="D200" s="1761">
        <f t="shared" si="112"/>
        <v>1267664</v>
      </c>
      <c r="E200" s="1761">
        <f t="shared" si="113"/>
        <v>0</v>
      </c>
      <c r="F200" s="1761">
        <f t="shared" si="113"/>
        <v>0</v>
      </c>
      <c r="G200" s="1761">
        <f t="shared" si="113"/>
        <v>0</v>
      </c>
      <c r="H200" s="1761">
        <f t="shared" si="113"/>
        <v>0</v>
      </c>
      <c r="I200" s="1761">
        <f t="shared" si="113"/>
        <v>0</v>
      </c>
      <c r="J200" s="1782">
        <f t="shared" si="112"/>
        <v>283000</v>
      </c>
      <c r="K200" s="1781"/>
    </row>
    <row r="201" spans="1:16" hidden="1">
      <c r="A201" s="1763" t="s">
        <v>62</v>
      </c>
      <c r="B201" s="1761">
        <f t="shared" si="114"/>
        <v>0</v>
      </c>
      <c r="C201" s="1764">
        <f t="shared" si="112"/>
        <v>0</v>
      </c>
      <c r="D201" s="1761">
        <f t="shared" si="112"/>
        <v>0</v>
      </c>
      <c r="E201" s="1761">
        <f t="shared" si="113"/>
        <v>0</v>
      </c>
      <c r="F201" s="1761">
        <f t="shared" si="113"/>
        <v>0</v>
      </c>
      <c r="G201" s="1761">
        <f t="shared" si="113"/>
        <v>0</v>
      </c>
      <c r="H201" s="1761">
        <f t="shared" si="113"/>
        <v>0</v>
      </c>
      <c r="I201" s="1761">
        <f t="shared" si="113"/>
        <v>0</v>
      </c>
      <c r="J201" s="1782">
        <f t="shared" si="112"/>
        <v>0</v>
      </c>
      <c r="K201" s="1781"/>
    </row>
    <row r="202" spans="1:16" hidden="1">
      <c r="A202" s="1758" t="s">
        <v>12</v>
      </c>
      <c r="B202" s="1761">
        <f t="shared" si="114"/>
        <v>0</v>
      </c>
      <c r="C202" s="1764">
        <f t="shared" si="112"/>
        <v>0</v>
      </c>
      <c r="D202" s="1761">
        <f t="shared" si="112"/>
        <v>0</v>
      </c>
      <c r="E202" s="1761">
        <f t="shared" si="113"/>
        <v>0</v>
      </c>
      <c r="F202" s="1761">
        <f t="shared" si="113"/>
        <v>0</v>
      </c>
      <c r="G202" s="1761">
        <f t="shared" si="113"/>
        <v>0</v>
      </c>
      <c r="H202" s="1761">
        <f t="shared" si="113"/>
        <v>0</v>
      </c>
      <c r="I202" s="1761">
        <f t="shared" si="113"/>
        <v>0</v>
      </c>
      <c r="J202" s="1782">
        <f t="shared" si="112"/>
        <v>0</v>
      </c>
      <c r="K202" s="1781"/>
    </row>
    <row r="203" spans="1:16" hidden="1">
      <c r="A203" s="1763" t="s">
        <v>57</v>
      </c>
      <c r="B203" s="1761">
        <f t="shared" si="114"/>
        <v>0</v>
      </c>
      <c r="C203" s="1764">
        <f t="shared" si="112"/>
        <v>0</v>
      </c>
      <c r="D203" s="1761">
        <f t="shared" si="112"/>
        <v>0</v>
      </c>
      <c r="E203" s="1761">
        <f t="shared" si="113"/>
        <v>0</v>
      </c>
      <c r="F203" s="1761">
        <f t="shared" si="113"/>
        <v>0</v>
      </c>
      <c r="G203" s="1761">
        <f t="shared" si="113"/>
        <v>0</v>
      </c>
      <c r="H203" s="1761">
        <f t="shared" si="113"/>
        <v>0</v>
      </c>
      <c r="I203" s="1761">
        <f t="shared" si="113"/>
        <v>0</v>
      </c>
      <c r="J203" s="1782">
        <f t="shared" si="112"/>
        <v>0</v>
      </c>
      <c r="K203" s="1762"/>
    </row>
    <row r="204" spans="1:16" hidden="1">
      <c r="A204" s="1763" t="s">
        <v>58</v>
      </c>
      <c r="B204" s="1761">
        <f t="shared" si="114"/>
        <v>0</v>
      </c>
      <c r="C204" s="1764">
        <f t="shared" si="112"/>
        <v>0</v>
      </c>
      <c r="D204" s="1761">
        <f t="shared" si="112"/>
        <v>0</v>
      </c>
      <c r="E204" s="1761">
        <f t="shared" si="113"/>
        <v>0</v>
      </c>
      <c r="F204" s="1761">
        <f t="shared" si="113"/>
        <v>0</v>
      </c>
      <c r="G204" s="1761">
        <f t="shared" si="113"/>
        <v>0</v>
      </c>
      <c r="H204" s="1761">
        <f t="shared" si="113"/>
        <v>0</v>
      </c>
      <c r="I204" s="1761">
        <f t="shared" si="113"/>
        <v>0</v>
      </c>
      <c r="J204" s="1782">
        <f t="shared" si="112"/>
        <v>0</v>
      </c>
      <c r="K204" s="1781"/>
    </row>
    <row r="205" spans="1:16" hidden="1">
      <c r="A205" s="1763" t="s">
        <v>17</v>
      </c>
      <c r="B205" s="1761">
        <f t="shared" si="114"/>
        <v>0</v>
      </c>
      <c r="C205" s="1764">
        <f t="shared" si="112"/>
        <v>0</v>
      </c>
      <c r="D205" s="1761">
        <f t="shared" si="112"/>
        <v>0</v>
      </c>
      <c r="E205" s="1761">
        <f t="shared" si="113"/>
        <v>0</v>
      </c>
      <c r="F205" s="1761">
        <f t="shared" si="113"/>
        <v>0</v>
      </c>
      <c r="G205" s="1761">
        <f t="shared" si="113"/>
        <v>0</v>
      </c>
      <c r="H205" s="1761">
        <f t="shared" si="113"/>
        <v>0</v>
      </c>
      <c r="I205" s="1761">
        <f t="shared" si="113"/>
        <v>0</v>
      </c>
      <c r="J205" s="1782">
        <f t="shared" si="112"/>
        <v>0</v>
      </c>
      <c r="K205" s="1781"/>
    </row>
    <row r="206" spans="1:16" ht="24" hidden="1">
      <c r="A206" s="1763" t="s">
        <v>26</v>
      </c>
      <c r="B206" s="1783">
        <f t="shared" si="114"/>
        <v>0</v>
      </c>
      <c r="C206" s="1784">
        <f t="shared" si="112"/>
        <v>0</v>
      </c>
      <c r="D206" s="1783">
        <f t="shared" si="112"/>
        <v>0</v>
      </c>
      <c r="E206" s="1783">
        <f t="shared" si="113"/>
        <v>0</v>
      </c>
      <c r="F206" s="1783">
        <f t="shared" si="113"/>
        <v>0</v>
      </c>
      <c r="G206" s="1783">
        <f t="shared" si="113"/>
        <v>0</v>
      </c>
      <c r="H206" s="1783">
        <f t="shared" si="113"/>
        <v>0</v>
      </c>
      <c r="I206" s="1783">
        <f t="shared" si="113"/>
        <v>0</v>
      </c>
      <c r="J206" s="1782">
        <f>+J144-J176</f>
        <v>0</v>
      </c>
      <c r="K206" s="1785"/>
    </row>
    <row r="207" spans="1:16" ht="13.5" hidden="1" customHeight="1">
      <c r="A207" s="1763" t="s">
        <v>20</v>
      </c>
      <c r="B207" s="1761">
        <f t="shared" si="114"/>
        <v>0</v>
      </c>
      <c r="C207" s="1764">
        <f t="shared" si="112"/>
        <v>0</v>
      </c>
      <c r="D207" s="1761">
        <f t="shared" si="112"/>
        <v>0</v>
      </c>
      <c r="E207" s="1761">
        <f t="shared" si="113"/>
        <v>0</v>
      </c>
      <c r="F207" s="1761">
        <f t="shared" si="113"/>
        <v>0</v>
      </c>
      <c r="G207" s="1761">
        <f t="shared" si="113"/>
        <v>0</v>
      </c>
      <c r="H207" s="1761">
        <f t="shared" si="113"/>
        <v>0</v>
      </c>
      <c r="I207" s="1761">
        <f t="shared" si="113"/>
        <v>0</v>
      </c>
      <c r="J207" s="1782">
        <f>+J145-J177</f>
        <v>0</v>
      </c>
      <c r="K207" s="1781"/>
    </row>
    <row r="208" spans="1:16" ht="13.5" hidden="1" customHeight="1">
      <c r="A208" s="1765" t="s">
        <v>19</v>
      </c>
      <c r="B208" s="1761">
        <f t="shared" si="114"/>
        <v>0</v>
      </c>
      <c r="C208" s="1764">
        <f t="shared" si="112"/>
        <v>0</v>
      </c>
      <c r="D208" s="1761">
        <f t="shared" si="112"/>
        <v>0</v>
      </c>
      <c r="E208" s="1761">
        <f t="shared" si="113"/>
        <v>0</v>
      </c>
      <c r="F208" s="1761">
        <f t="shared" si="113"/>
        <v>0</v>
      </c>
      <c r="G208" s="1761">
        <f t="shared" si="113"/>
        <v>0</v>
      </c>
      <c r="H208" s="1761">
        <f t="shared" si="113"/>
        <v>0</v>
      </c>
      <c r="I208" s="1761">
        <f t="shared" si="113"/>
        <v>0</v>
      </c>
      <c r="J208" s="1782">
        <f>+J146-J178</f>
        <v>0</v>
      </c>
      <c r="K208" s="1781"/>
    </row>
    <row r="209" spans="1:11" ht="13.5" hidden="1" thickBot="1">
      <c r="A209" s="1766" t="s">
        <v>21</v>
      </c>
      <c r="B209" s="1767">
        <f t="shared" si="114"/>
        <v>-9900223</v>
      </c>
      <c r="C209" s="1768">
        <f t="shared" si="112"/>
        <v>-32523575.00000003</v>
      </c>
      <c r="D209" s="1767">
        <f t="shared" si="112"/>
        <v>27087049</v>
      </c>
      <c r="E209" s="1767">
        <f t="shared" si="113"/>
        <v>5319385</v>
      </c>
      <c r="F209" s="1767">
        <f t="shared" si="113"/>
        <v>0</v>
      </c>
      <c r="G209" s="1767">
        <f t="shared" si="113"/>
        <v>0</v>
      </c>
      <c r="H209" s="1767">
        <f t="shared" si="113"/>
        <v>0</v>
      </c>
      <c r="I209" s="1767">
        <f t="shared" si="113"/>
        <v>74</v>
      </c>
      <c r="J209" s="1782">
        <f>+J147-J179</f>
        <v>-10017290</v>
      </c>
      <c r="K209" s="1781"/>
    </row>
    <row r="210" spans="1:11" ht="13.5" hidden="1" thickBot="1">
      <c r="A210" s="1786"/>
      <c r="B210" s="1788">
        <f>SUM(B198:B209)</f>
        <v>-9900223</v>
      </c>
      <c r="C210" s="1787">
        <f t="shared" ref="C210:J210" si="115">SUM(C198:C209)</f>
        <v>-33508239.00000003</v>
      </c>
      <c r="D210" s="1787">
        <f t="shared" si="115"/>
        <v>28354713</v>
      </c>
      <c r="E210" s="1787">
        <f t="shared" si="115"/>
        <v>5319385</v>
      </c>
      <c r="F210" s="1787">
        <f t="shared" si="115"/>
        <v>0</v>
      </c>
      <c r="G210" s="1787">
        <f t="shared" si="115"/>
        <v>0</v>
      </c>
      <c r="H210" s="1787">
        <f t="shared" si="115"/>
        <v>0</v>
      </c>
      <c r="I210" s="1787">
        <f t="shared" si="115"/>
        <v>74</v>
      </c>
      <c r="J210" s="1787">
        <f t="shared" si="115"/>
        <v>-9734290</v>
      </c>
      <c r="K210" s="1789"/>
    </row>
    <row r="211" spans="1:11" ht="2.25" hidden="1" customHeight="1">
      <c r="A211" s="1513"/>
      <c r="B211" s="1790"/>
      <c r="J211" s="1513"/>
    </row>
    <row r="212" spans="1:11" hidden="1">
      <c r="A212" s="1773" t="s">
        <v>42</v>
      </c>
      <c r="B212" s="1792">
        <f>+B135-B167</f>
        <v>-9900223</v>
      </c>
      <c r="C212" s="1791">
        <f t="shared" ref="C212:J212" si="116">+C135-C167</f>
        <v>-33508239.00000006</v>
      </c>
      <c r="D212" s="1791">
        <f t="shared" si="116"/>
        <v>28354713</v>
      </c>
      <c r="E212" s="1791">
        <f>+E135-E167</f>
        <v>5319385</v>
      </c>
      <c r="F212" s="1791">
        <f>+F135-F167</f>
        <v>0</v>
      </c>
      <c r="G212" s="1791">
        <f>+G135-G167</f>
        <v>0</v>
      </c>
      <c r="H212" s="1791">
        <f>+H135-H167</f>
        <v>0</v>
      </c>
      <c r="I212" s="1791">
        <f>+I135-I167</f>
        <v>74</v>
      </c>
      <c r="J212" s="1791">
        <f t="shared" si="116"/>
        <v>-9734290</v>
      </c>
    </row>
    <row r="213" spans="1:11" ht="14.25" hidden="1" customHeight="1">
      <c r="A213" s="1513"/>
      <c r="B213" s="1520">
        <f>+B212-B210</f>
        <v>0</v>
      </c>
      <c r="C213" s="1520">
        <f t="shared" ref="C213:J213" si="117">+C212-C210</f>
        <v>-2.9802322387695313E-8</v>
      </c>
      <c r="D213" s="1520">
        <f t="shared" si="117"/>
        <v>0</v>
      </c>
      <c r="E213" s="1520">
        <f>+E212-E210</f>
        <v>0</v>
      </c>
      <c r="F213" s="1520">
        <f>+F212-F210</f>
        <v>0</v>
      </c>
      <c r="G213" s="1520">
        <f>+G212-G210</f>
        <v>0</v>
      </c>
      <c r="H213" s="1520">
        <f>+H212-H210</f>
        <v>0</v>
      </c>
      <c r="I213" s="1520">
        <f>+I212-I210</f>
        <v>0</v>
      </c>
      <c r="J213" s="1520">
        <f t="shared" si="117"/>
        <v>0</v>
      </c>
    </row>
    <row r="214" spans="1:11" ht="12" hidden="1" customHeight="1">
      <c r="A214" s="1513"/>
      <c r="J214" s="1520"/>
    </row>
    <row r="215" spans="1:11" hidden="1">
      <c r="A215" s="1513"/>
      <c r="J215" s="1513"/>
    </row>
    <row r="216" spans="1:11" hidden="1">
      <c r="A216" s="1513"/>
    </row>
    <row r="217" spans="1:11" hidden="1">
      <c r="A217" s="1513"/>
      <c r="J217" s="1513"/>
    </row>
    <row r="218" spans="1:11" hidden="1">
      <c r="A218" s="1513"/>
      <c r="J218" s="1513"/>
    </row>
    <row r="219" spans="1:11" ht="41.25" hidden="1" customHeight="1">
      <c r="A219" s="1513"/>
    </row>
    <row r="220" spans="1:11" hidden="1">
      <c r="A220" s="1513"/>
      <c r="J220" s="1513"/>
    </row>
    <row r="221" spans="1:11" hidden="1">
      <c r="A221" s="1513"/>
      <c r="J221" s="1513"/>
    </row>
    <row r="222" spans="1:11" hidden="1">
      <c r="A222" s="1513"/>
      <c r="J222" s="1513"/>
    </row>
    <row r="223" spans="1:11" hidden="1">
      <c r="A223" s="1513"/>
      <c r="J223" s="1513"/>
    </row>
    <row r="224" spans="1:11" hidden="1">
      <c r="A224" s="1513"/>
      <c r="J224" s="1513"/>
    </row>
    <row r="225" spans="1:10" hidden="1">
      <c r="A225" s="1513"/>
      <c r="J225" s="1513"/>
    </row>
    <row r="226" spans="1:10" hidden="1">
      <c r="A226" s="1513"/>
      <c r="J226" s="1513"/>
    </row>
    <row r="227" spans="1:10" hidden="1">
      <c r="A227" s="1513"/>
      <c r="J227" s="1513"/>
    </row>
    <row r="228" spans="1:10" hidden="1">
      <c r="A228" s="1513"/>
      <c r="J228" s="1513"/>
    </row>
    <row r="229" spans="1:10" hidden="1">
      <c r="A229" s="1513"/>
      <c r="J229" s="1513"/>
    </row>
    <row r="230" spans="1:10" hidden="1">
      <c r="A230" s="1513"/>
      <c r="J230" s="1513"/>
    </row>
    <row r="231" spans="1:10" hidden="1">
      <c r="A231" s="1513"/>
      <c r="J231" s="1513"/>
    </row>
    <row r="232" spans="1:10" hidden="1">
      <c r="A232" s="1513"/>
      <c r="J232" s="1513"/>
    </row>
    <row r="233" spans="1:10" hidden="1">
      <c r="A233" s="1513"/>
      <c r="J233" s="1513"/>
    </row>
    <row r="234" spans="1:10" hidden="1">
      <c r="A234" s="1513"/>
      <c r="J234" s="1513"/>
    </row>
    <row r="235" spans="1:10" hidden="1">
      <c r="A235" s="1513"/>
      <c r="J235" s="1513"/>
    </row>
    <row r="236" spans="1:10" hidden="1">
      <c r="A236" s="1513"/>
      <c r="J236" s="1513"/>
    </row>
    <row r="237" spans="1:10" hidden="1">
      <c r="A237" s="1513"/>
      <c r="J237" s="1513"/>
    </row>
    <row r="238" spans="1:10" hidden="1">
      <c r="A238" s="1513"/>
      <c r="J238" s="1513"/>
    </row>
    <row r="239" spans="1:10" hidden="1">
      <c r="A239" s="1513"/>
      <c r="J239" s="1513"/>
    </row>
    <row r="240" spans="1:10" hidden="1">
      <c r="A240" s="1513"/>
      <c r="J240" s="1513"/>
    </row>
    <row r="241" spans="1:10" hidden="1">
      <c r="A241" s="1513"/>
      <c r="J241" s="1513"/>
    </row>
    <row r="242" spans="1:10" hidden="1">
      <c r="A242" s="1513"/>
      <c r="J242" s="1513"/>
    </row>
    <row r="243" spans="1:10" hidden="1">
      <c r="A243" s="1513"/>
      <c r="J243" s="1513"/>
    </row>
    <row r="244" spans="1:10" hidden="1">
      <c r="A244" s="1513"/>
      <c r="J244" s="1513"/>
    </row>
    <row r="245" spans="1:10" hidden="1">
      <c r="A245" s="1513"/>
      <c r="J245" s="1513"/>
    </row>
    <row r="246" spans="1:10" hidden="1">
      <c r="A246" s="1513"/>
      <c r="J246" s="1513"/>
    </row>
    <row r="247" spans="1:10" hidden="1">
      <c r="A247" s="1513"/>
      <c r="J247" s="1513"/>
    </row>
    <row r="248" spans="1:10" hidden="1">
      <c r="A248" s="1513"/>
      <c r="J248" s="1513"/>
    </row>
    <row r="249" spans="1:10" hidden="1">
      <c r="A249" s="1513"/>
      <c r="J249" s="1513"/>
    </row>
    <row r="250" spans="1:10" hidden="1">
      <c r="A250" s="1513"/>
      <c r="J250" s="1513"/>
    </row>
    <row r="251" spans="1:10" hidden="1">
      <c r="A251" s="1513"/>
      <c r="J251" s="1513"/>
    </row>
    <row r="252" spans="1:10" hidden="1">
      <c r="A252" s="1513"/>
      <c r="J252" s="1513"/>
    </row>
    <row r="253" spans="1:10" hidden="1">
      <c r="A253" s="1513"/>
      <c r="J253" s="1513"/>
    </row>
    <row r="254" spans="1:10" hidden="1">
      <c r="A254" s="1513"/>
      <c r="J254" s="1513"/>
    </row>
    <row r="255" spans="1:10" hidden="1">
      <c r="A255" s="1513"/>
      <c r="J255" s="1513"/>
    </row>
    <row r="256" spans="1:10" hidden="1">
      <c r="A256" s="1513"/>
      <c r="J256" s="1513"/>
    </row>
    <row r="257" spans="1:10" hidden="1">
      <c r="A257" s="1513"/>
      <c r="J257" s="1513"/>
    </row>
    <row r="258" spans="1:10" hidden="1">
      <c r="A258" s="1513"/>
      <c r="J258" s="1513"/>
    </row>
    <row r="259" spans="1:10" hidden="1">
      <c r="A259" s="1513"/>
      <c r="J259" s="1513"/>
    </row>
    <row r="260" spans="1:10" hidden="1">
      <c r="A260" s="1513"/>
      <c r="J260" s="1513"/>
    </row>
    <row r="261" spans="1:10" hidden="1">
      <c r="A261" s="1513"/>
      <c r="J261" s="1513"/>
    </row>
    <row r="262" spans="1:10" hidden="1">
      <c r="A262" s="1513"/>
      <c r="J262" s="1513"/>
    </row>
    <row r="263" spans="1:10" hidden="1">
      <c r="A263" s="1513"/>
      <c r="J263" s="1513"/>
    </row>
    <row r="264" spans="1:10" hidden="1">
      <c r="A264" s="1513"/>
      <c r="J264" s="1513"/>
    </row>
    <row r="265" spans="1:10" hidden="1">
      <c r="A265" s="1513"/>
      <c r="J265" s="1513"/>
    </row>
    <row r="266" spans="1:10" hidden="1">
      <c r="A266" s="1513"/>
      <c r="J266" s="1513"/>
    </row>
    <row r="267" spans="1:10" hidden="1">
      <c r="A267" s="1513"/>
      <c r="J267" s="1513"/>
    </row>
    <row r="268" spans="1:10" hidden="1">
      <c r="A268" s="1513"/>
      <c r="J268" s="1513"/>
    </row>
    <row r="269" spans="1:10" hidden="1">
      <c r="A269" s="1513"/>
      <c r="J269" s="1513"/>
    </row>
    <row r="270" spans="1:10" hidden="1">
      <c r="A270" s="1513"/>
      <c r="J270" s="1513"/>
    </row>
    <row r="271" spans="1:10" hidden="1">
      <c r="A271" s="1513"/>
      <c r="J271" s="1513"/>
    </row>
    <row r="272" spans="1:10" hidden="1">
      <c r="A272" s="1513"/>
      <c r="J272" s="1513"/>
    </row>
    <row r="273" spans="1:10" hidden="1">
      <c r="A273" s="1513"/>
      <c r="J273" s="1513"/>
    </row>
    <row r="274" spans="1:10" hidden="1">
      <c r="A274" s="1513"/>
      <c r="J274" s="1513"/>
    </row>
    <row r="275" spans="1:10" hidden="1">
      <c r="A275" s="1513"/>
      <c r="J275" s="1513"/>
    </row>
    <row r="276" spans="1:10" hidden="1">
      <c r="A276" s="1513"/>
      <c r="J276" s="1513"/>
    </row>
    <row r="277" spans="1:10" hidden="1">
      <c r="A277" s="1513"/>
      <c r="J277" s="1513"/>
    </row>
    <row r="278" spans="1:10" hidden="1">
      <c r="A278" s="1513"/>
      <c r="J278" s="1513"/>
    </row>
    <row r="279" spans="1:10" hidden="1">
      <c r="A279" s="1513"/>
      <c r="J279" s="1513"/>
    </row>
    <row r="280" spans="1:10" hidden="1">
      <c r="A280" s="1513"/>
      <c r="J280" s="1513"/>
    </row>
    <row r="281" spans="1:10" hidden="1">
      <c r="A281" s="1513"/>
      <c r="J281" s="1513"/>
    </row>
    <row r="282" spans="1:10" hidden="1">
      <c r="A282" s="1513"/>
      <c r="J282" s="1513"/>
    </row>
    <row r="283" spans="1:10" hidden="1">
      <c r="A283" s="1513"/>
      <c r="J283" s="1513"/>
    </row>
    <row r="284" spans="1:10" hidden="1">
      <c r="A284" s="1513"/>
      <c r="J284" s="1513"/>
    </row>
    <row r="285" spans="1:10" hidden="1">
      <c r="A285" s="1513"/>
      <c r="J285" s="1513"/>
    </row>
    <row r="286" spans="1:10" hidden="1">
      <c r="A286" s="1513"/>
      <c r="J286" s="1513"/>
    </row>
    <row r="287" spans="1:10" hidden="1">
      <c r="A287" s="1513"/>
      <c r="J287" s="1513"/>
    </row>
    <row r="288" spans="1:10" hidden="1">
      <c r="A288" s="1513"/>
      <c r="J288" s="1513"/>
    </row>
    <row r="289" spans="1:10" hidden="1">
      <c r="A289" s="1513"/>
      <c r="J289" s="1513"/>
    </row>
    <row r="290" spans="1:10" hidden="1">
      <c r="A290" s="1513"/>
      <c r="J290" s="1513"/>
    </row>
    <row r="291" spans="1:10" hidden="1">
      <c r="A291" s="1513"/>
      <c r="J291" s="1513"/>
    </row>
    <row r="292" spans="1:10" hidden="1">
      <c r="A292" s="1513"/>
      <c r="J292" s="1513"/>
    </row>
    <row r="293" spans="1:10" hidden="1">
      <c r="A293" s="1513"/>
      <c r="J293" s="1513"/>
    </row>
    <row r="294" spans="1:10" hidden="1">
      <c r="A294" s="1513"/>
      <c r="J294" s="1513"/>
    </row>
    <row r="295" spans="1:10" hidden="1">
      <c r="A295" s="1513"/>
      <c r="J295" s="1513"/>
    </row>
    <row r="296" spans="1:10" hidden="1">
      <c r="A296" s="1513"/>
      <c r="J296" s="1513"/>
    </row>
    <row r="297" spans="1:10" hidden="1">
      <c r="A297" s="1513"/>
      <c r="J297" s="1513"/>
    </row>
    <row r="298" spans="1:10" hidden="1">
      <c r="A298" s="1513"/>
      <c r="J298" s="1513"/>
    </row>
    <row r="299" spans="1:10" hidden="1">
      <c r="A299" s="1513"/>
      <c r="J299" s="1513"/>
    </row>
    <row r="300" spans="1:10" hidden="1">
      <c r="A300" s="1513"/>
      <c r="J300" s="1513"/>
    </row>
    <row r="301" spans="1:10" hidden="1">
      <c r="A301" s="1513"/>
      <c r="J301" s="1513"/>
    </row>
    <row r="302" spans="1:10" hidden="1">
      <c r="A302" s="1513"/>
      <c r="J302" s="1513"/>
    </row>
    <row r="303" spans="1:10" hidden="1">
      <c r="A303" s="1513"/>
      <c r="J303" s="1513"/>
    </row>
    <row r="304" spans="1:10" hidden="1">
      <c r="A304" s="1513"/>
      <c r="J304" s="1513"/>
    </row>
    <row r="305" spans="1:10" hidden="1">
      <c r="A305" s="1513"/>
      <c r="J305" s="1513"/>
    </row>
    <row r="306" spans="1:10" hidden="1">
      <c r="A306" s="1513"/>
      <c r="J306" s="1513"/>
    </row>
    <row r="307" spans="1:10" hidden="1">
      <c r="A307" s="1513"/>
      <c r="J307" s="1513"/>
    </row>
    <row r="308" spans="1:10" hidden="1">
      <c r="A308" s="1513"/>
      <c r="J308" s="1513"/>
    </row>
    <row r="309" spans="1:10" hidden="1">
      <c r="A309" s="1513"/>
      <c r="J309" s="1513"/>
    </row>
    <row r="310" spans="1:10" hidden="1">
      <c r="A310" s="1513"/>
      <c r="J310" s="1513"/>
    </row>
    <row r="311" spans="1:10" hidden="1">
      <c r="A311" s="1513"/>
      <c r="J311" s="1513"/>
    </row>
    <row r="312" spans="1:10" hidden="1">
      <c r="A312" s="1513"/>
      <c r="J312" s="1513"/>
    </row>
    <row r="313" spans="1:10" hidden="1">
      <c r="A313" s="1513"/>
      <c r="J313" s="1513"/>
    </row>
    <row r="314" spans="1:10" hidden="1">
      <c r="A314" s="1513"/>
      <c r="J314" s="1513"/>
    </row>
    <row r="315" spans="1:10" hidden="1">
      <c r="A315" s="1513"/>
      <c r="J315" s="1513"/>
    </row>
    <row r="316" spans="1:10" hidden="1">
      <c r="A316" s="1513"/>
      <c r="J316" s="1513"/>
    </row>
    <row r="317" spans="1:10" hidden="1">
      <c r="A317" s="1513"/>
      <c r="J317" s="1513"/>
    </row>
    <row r="318" spans="1:10" hidden="1">
      <c r="A318" s="1513"/>
      <c r="J318" s="1513"/>
    </row>
    <row r="319" spans="1:10" hidden="1">
      <c r="A319" s="1513"/>
      <c r="J319" s="1513"/>
    </row>
    <row r="320" spans="1:10" hidden="1">
      <c r="A320" s="1513"/>
      <c r="J320" s="1513"/>
    </row>
    <row r="321" spans="1:10" hidden="1">
      <c r="A321" s="1513"/>
      <c r="J321" s="1513"/>
    </row>
    <row r="322" spans="1:10" hidden="1">
      <c r="A322" s="1513"/>
      <c r="J322" s="1513"/>
    </row>
    <row r="323" spans="1:10" hidden="1">
      <c r="A323" s="1513"/>
      <c r="J323" s="1513"/>
    </row>
    <row r="324" spans="1:10" hidden="1">
      <c r="A324" s="1513"/>
      <c r="J324" s="1513"/>
    </row>
    <row r="325" spans="1:10" hidden="1">
      <c r="A325" s="1513"/>
      <c r="J325" s="1513"/>
    </row>
    <row r="326" spans="1:10" hidden="1">
      <c r="A326" s="1513"/>
      <c r="J326" s="1513"/>
    </row>
    <row r="327" spans="1:10" hidden="1">
      <c r="A327" s="1513"/>
      <c r="J327" s="1513"/>
    </row>
    <row r="328" spans="1:10" hidden="1">
      <c r="A328" s="1513"/>
      <c r="J328" s="1513"/>
    </row>
    <row r="329" spans="1:10" hidden="1">
      <c r="A329" s="1513"/>
      <c r="J329" s="1513"/>
    </row>
    <row r="330" spans="1:10" hidden="1">
      <c r="A330" s="1513"/>
      <c r="J330" s="1513"/>
    </row>
    <row r="331" spans="1:10" hidden="1">
      <c r="A331" s="1513"/>
      <c r="J331" s="1513"/>
    </row>
    <row r="332" spans="1:10" hidden="1">
      <c r="A332" s="1513"/>
      <c r="J332" s="1513"/>
    </row>
    <row r="333" spans="1:10" hidden="1">
      <c r="A333" s="1513"/>
      <c r="J333" s="1513"/>
    </row>
    <row r="334" spans="1:10" hidden="1">
      <c r="A334" s="1513"/>
      <c r="J334" s="1513"/>
    </row>
    <row r="335" spans="1:10" hidden="1">
      <c r="A335" s="1513"/>
      <c r="J335" s="1513"/>
    </row>
    <row r="336" spans="1:10" hidden="1">
      <c r="A336" s="1513"/>
      <c r="J336" s="1513"/>
    </row>
    <row r="337" spans="1:10" hidden="1">
      <c r="A337" s="1513"/>
      <c r="J337" s="1513"/>
    </row>
    <row r="338" spans="1:10" hidden="1">
      <c r="A338" s="1513"/>
      <c r="J338" s="1513"/>
    </row>
    <row r="339" spans="1:10" hidden="1">
      <c r="A339" s="1513"/>
      <c r="J339" s="1513"/>
    </row>
    <row r="340" spans="1:10" hidden="1">
      <c r="A340" s="1513"/>
      <c r="J340" s="1513"/>
    </row>
    <row r="341" spans="1:10" hidden="1">
      <c r="A341" s="1513"/>
      <c r="J341" s="1513"/>
    </row>
    <row r="342" spans="1:10" hidden="1">
      <c r="A342" s="1513"/>
      <c r="J342" s="1513"/>
    </row>
    <row r="343" spans="1:10" hidden="1">
      <c r="A343" s="1513"/>
      <c r="J343" s="1513"/>
    </row>
    <row r="344" spans="1:10" hidden="1">
      <c r="A344" s="1513"/>
      <c r="J344" s="1513"/>
    </row>
    <row r="345" spans="1:10">
      <c r="A345" s="1513"/>
      <c r="J345" s="1513"/>
    </row>
    <row r="346" spans="1:10">
      <c r="A346" s="1513"/>
      <c r="J346" s="1513"/>
    </row>
    <row r="347" spans="1:10">
      <c r="A347" s="1513"/>
      <c r="J347" s="1513"/>
    </row>
    <row r="348" spans="1:10">
      <c r="A348" s="1513"/>
      <c r="J348" s="1513"/>
    </row>
    <row r="349" spans="1:10">
      <c r="A349" s="1513"/>
      <c r="J349" s="1513"/>
    </row>
    <row r="350" spans="1:10">
      <c r="A350" s="1513"/>
      <c r="J350" s="1513"/>
    </row>
    <row r="351" spans="1:10">
      <c r="A351" s="1513"/>
      <c r="J351" s="1513"/>
    </row>
    <row r="352" spans="1:10">
      <c r="A352" s="1513"/>
      <c r="J352" s="1513"/>
    </row>
    <row r="353" spans="1:10">
      <c r="A353" s="1513"/>
      <c r="J353" s="1513"/>
    </row>
    <row r="354" spans="1:10">
      <c r="A354" s="1513"/>
      <c r="J354" s="1513"/>
    </row>
    <row r="355" spans="1:10">
      <c r="A355" s="1513"/>
      <c r="J355" s="1513"/>
    </row>
    <row r="356" spans="1:10">
      <c r="A356" s="1513"/>
      <c r="J356" s="1513"/>
    </row>
    <row r="357" spans="1:10">
      <c r="A357" s="1513"/>
      <c r="J357" s="1513"/>
    </row>
    <row r="358" spans="1:10">
      <c r="A358" s="1513"/>
      <c r="J358" s="1513"/>
    </row>
    <row r="359" spans="1:10">
      <c r="A359" s="1513"/>
      <c r="J359" s="1513"/>
    </row>
    <row r="360" spans="1:10">
      <c r="A360" s="1513"/>
      <c r="J360" s="1513"/>
    </row>
    <row r="361" spans="1:10">
      <c r="A361" s="1513"/>
      <c r="J361" s="1513"/>
    </row>
    <row r="362" spans="1:10">
      <c r="A362" s="1513"/>
      <c r="J362" s="1513"/>
    </row>
    <row r="363" spans="1:10">
      <c r="A363" s="1513"/>
      <c r="J363" s="1513"/>
    </row>
    <row r="364" spans="1:10">
      <c r="A364" s="1513"/>
      <c r="J364" s="1513"/>
    </row>
    <row r="365" spans="1:10">
      <c r="A365" s="1513"/>
      <c r="J365" s="1513"/>
    </row>
    <row r="366" spans="1:10">
      <c r="A366" s="1513"/>
      <c r="J366" s="1513"/>
    </row>
    <row r="367" spans="1:10">
      <c r="A367" s="1513"/>
      <c r="J367" s="1513"/>
    </row>
    <row r="368" spans="1:10">
      <c r="A368" s="1513"/>
      <c r="J368" s="1513"/>
    </row>
    <row r="369" spans="1:10">
      <c r="A369" s="1513"/>
      <c r="J369" s="1513"/>
    </row>
    <row r="370" spans="1:10">
      <c r="A370" s="1513"/>
      <c r="J370" s="1513"/>
    </row>
    <row r="371" spans="1:10">
      <c r="A371" s="1513"/>
      <c r="J371" s="1513"/>
    </row>
    <row r="372" spans="1:10">
      <c r="A372" s="1513"/>
      <c r="J372" s="1513"/>
    </row>
    <row r="373" spans="1:10">
      <c r="A373" s="1513"/>
      <c r="J373" s="1513"/>
    </row>
    <row r="374" spans="1:10">
      <c r="A374" s="1513"/>
      <c r="J374" s="1513"/>
    </row>
    <row r="375" spans="1:10">
      <c r="A375" s="1513"/>
      <c r="J375" s="1513"/>
    </row>
    <row r="376" spans="1:10">
      <c r="A376" s="1513"/>
      <c r="J376" s="1513"/>
    </row>
    <row r="377" spans="1:10">
      <c r="A377" s="1513"/>
      <c r="J377" s="1513"/>
    </row>
    <row r="378" spans="1:10">
      <c r="A378" s="1513"/>
      <c r="J378" s="1513"/>
    </row>
    <row r="379" spans="1:10">
      <c r="A379" s="1513"/>
      <c r="J379" s="1513"/>
    </row>
    <row r="380" spans="1:10">
      <c r="A380" s="1513"/>
      <c r="J380" s="1513"/>
    </row>
    <row r="381" spans="1:10">
      <c r="A381" s="1513"/>
      <c r="J381" s="1513"/>
    </row>
    <row r="382" spans="1:10">
      <c r="A382" s="1513"/>
      <c r="J382" s="1513"/>
    </row>
    <row r="383" spans="1:10">
      <c r="A383" s="1513"/>
      <c r="J383" s="1513"/>
    </row>
    <row r="384" spans="1:10">
      <c r="A384" s="1513"/>
      <c r="J384" s="1513"/>
    </row>
    <row r="385" spans="1:12">
      <c r="A385" s="1513"/>
      <c r="J385" s="1513"/>
    </row>
    <row r="386" spans="1:12">
      <c r="A386" s="1513"/>
      <c r="J386" s="1513"/>
    </row>
    <row r="387" spans="1:12" ht="13.5" thickBot="1">
      <c r="A387" s="1513"/>
      <c r="J387" s="1513"/>
    </row>
    <row r="388" spans="1:12" ht="45">
      <c r="A388" s="1793" t="s">
        <v>69</v>
      </c>
      <c r="B388" s="1794"/>
      <c r="C388" s="1794"/>
      <c r="D388" s="1794"/>
      <c r="E388" s="1794"/>
      <c r="F388" s="1794"/>
      <c r="G388" s="1794"/>
      <c r="H388" s="1794"/>
      <c r="I388" s="1794"/>
      <c r="J388" s="1794"/>
      <c r="K388" s="1795"/>
      <c r="L388" s="1795"/>
    </row>
    <row r="389" spans="1:12">
      <c r="A389" s="1513"/>
      <c r="J389" s="1513"/>
      <c r="K389" s="2032"/>
      <c r="L389" s="2032"/>
    </row>
    <row r="390" spans="1:12">
      <c r="A390" s="1513"/>
      <c r="J390" s="1513"/>
      <c r="K390" s="2032"/>
      <c r="L390" s="2032"/>
    </row>
    <row r="391" spans="1:12">
      <c r="A391" s="1513"/>
      <c r="J391" s="1513"/>
      <c r="K391" s="2032"/>
      <c r="L391" s="2032"/>
    </row>
    <row r="392" spans="1:12">
      <c r="A392" s="1513"/>
      <c r="J392" s="1513"/>
      <c r="K392" s="2032"/>
      <c r="L392" s="2032"/>
    </row>
    <row r="393" spans="1:12">
      <c r="A393" s="1513"/>
      <c r="J393" s="1513"/>
      <c r="K393" s="2032"/>
      <c r="L393" s="2032"/>
    </row>
    <row r="394" spans="1:12">
      <c r="A394" s="1513"/>
      <c r="J394" s="1513"/>
      <c r="K394" s="2032"/>
      <c r="L394" s="2032"/>
    </row>
    <row r="395" spans="1:12">
      <c r="A395" s="1513"/>
      <c r="J395" s="1513"/>
      <c r="K395" s="2032"/>
      <c r="L395" s="2032"/>
    </row>
    <row r="396" spans="1:12">
      <c r="A396" s="1513"/>
      <c r="J396" s="1513"/>
      <c r="K396" s="2032"/>
      <c r="L396" s="2032"/>
    </row>
    <row r="397" spans="1:12">
      <c r="A397" s="1513"/>
      <c r="J397" s="1513"/>
      <c r="K397" s="2032"/>
      <c r="L397" s="2032"/>
    </row>
    <row r="398" spans="1:12">
      <c r="A398" s="1513"/>
      <c r="J398" s="1513"/>
      <c r="K398" s="2032"/>
      <c r="L398" s="2032"/>
    </row>
    <row r="399" spans="1:12" ht="13.5" thickBot="1">
      <c r="A399" s="1796"/>
      <c r="B399" s="1796"/>
      <c r="C399" s="1796"/>
      <c r="D399" s="1796"/>
      <c r="E399" s="1796"/>
      <c r="F399" s="1796"/>
      <c r="G399" s="1796"/>
      <c r="H399" s="1796"/>
      <c r="I399" s="1796"/>
      <c r="J399" s="1796"/>
      <c r="K399" s="795"/>
      <c r="L399" s="795"/>
    </row>
    <row r="400" spans="1:12">
      <c r="A400" s="1513"/>
      <c r="J400" s="1513"/>
    </row>
    <row r="401" spans="1:10">
      <c r="A401" s="1513"/>
      <c r="J401" s="1513"/>
    </row>
    <row r="402" spans="1:10">
      <c r="A402" s="1513"/>
      <c r="J402" s="1513"/>
    </row>
    <row r="403" spans="1:10">
      <c r="A403" s="1513"/>
      <c r="J403" s="1513"/>
    </row>
    <row r="404" spans="1:10">
      <c r="A404" s="1513"/>
      <c r="J404" s="1513"/>
    </row>
    <row r="405" spans="1:10">
      <c r="A405" s="1513"/>
      <c r="J405" s="1513"/>
    </row>
    <row r="406" spans="1:10">
      <c r="A406" s="1513"/>
      <c r="J406" s="1513"/>
    </row>
    <row r="407" spans="1:10">
      <c r="A407" s="1513"/>
      <c r="J407" s="1513"/>
    </row>
    <row r="408" spans="1:10">
      <c r="A408" s="1513"/>
      <c r="J408" s="1513"/>
    </row>
    <row r="409" spans="1:10">
      <c r="A409" s="1513"/>
      <c r="J409" s="1513"/>
    </row>
    <row r="410" spans="1:10">
      <c r="A410" s="1513"/>
      <c r="J410" s="1513"/>
    </row>
    <row r="411" spans="1:10">
      <c r="A411" s="1513"/>
      <c r="J411" s="1513"/>
    </row>
    <row r="412" spans="1:10">
      <c r="A412" s="1513"/>
      <c r="J412" s="1513"/>
    </row>
    <row r="413" spans="1:10">
      <c r="A413" s="1513"/>
      <c r="J413" s="1513"/>
    </row>
    <row r="414" spans="1:10">
      <c r="A414" s="1513"/>
      <c r="J414" s="1513"/>
    </row>
    <row r="415" spans="1:10">
      <c r="A415" s="1513"/>
      <c r="J415" s="1513"/>
    </row>
    <row r="416" spans="1:10">
      <c r="A416" s="1513"/>
      <c r="J416" s="1513"/>
    </row>
    <row r="417" spans="1:10">
      <c r="A417" s="1513"/>
      <c r="J417" s="1513"/>
    </row>
    <row r="418" spans="1:10">
      <c r="A418" s="1513"/>
      <c r="J418" s="1513"/>
    </row>
    <row r="419" spans="1:10">
      <c r="A419" s="1513"/>
      <c r="J419" s="1513"/>
    </row>
    <row r="420" spans="1:10">
      <c r="A420" s="1513"/>
      <c r="J420" s="1513"/>
    </row>
    <row r="421" spans="1:10">
      <c r="A421" s="1513"/>
      <c r="J421" s="1513"/>
    </row>
    <row r="422" spans="1:10">
      <c r="A422" s="1513"/>
      <c r="J422" s="1513"/>
    </row>
    <row r="423" spans="1:10">
      <c r="A423" s="1513"/>
      <c r="J423" s="1513"/>
    </row>
    <row r="424" spans="1:10">
      <c r="A424" s="1513"/>
      <c r="J424" s="1513"/>
    </row>
    <row r="425" spans="1:10">
      <c r="A425" s="1513"/>
      <c r="J425" s="1513"/>
    </row>
    <row r="426" spans="1:10">
      <c r="A426" s="1513"/>
      <c r="J426" s="1513"/>
    </row>
    <row r="427" spans="1:10">
      <c r="A427" s="1513"/>
      <c r="J427" s="1513"/>
    </row>
    <row r="428" spans="1:10">
      <c r="A428" s="1513"/>
      <c r="J428" s="1513"/>
    </row>
    <row r="429" spans="1:10">
      <c r="A429" s="1513"/>
      <c r="J429" s="1513"/>
    </row>
    <row r="430" spans="1:10">
      <c r="A430" s="1513"/>
      <c r="J430" s="1513"/>
    </row>
    <row r="431" spans="1:10">
      <c r="A431" s="1513"/>
      <c r="J431" s="1513"/>
    </row>
    <row r="432" spans="1:10">
      <c r="A432" s="1513"/>
      <c r="J432" s="1513"/>
    </row>
    <row r="433" spans="1:10">
      <c r="A433" s="1513"/>
      <c r="J433" s="1513"/>
    </row>
    <row r="434" spans="1:10">
      <c r="A434" s="1513"/>
      <c r="J434" s="1513"/>
    </row>
    <row r="435" spans="1:10">
      <c r="A435" s="1513"/>
      <c r="J435" s="1513"/>
    </row>
    <row r="436" spans="1:10">
      <c r="A436" s="1513"/>
      <c r="J436" s="1513"/>
    </row>
    <row r="437" spans="1:10">
      <c r="A437" s="1513"/>
      <c r="J437" s="1513"/>
    </row>
    <row r="438" spans="1:10">
      <c r="A438" s="1513"/>
      <c r="J438" s="1513"/>
    </row>
    <row r="439" spans="1:10">
      <c r="A439" s="1513"/>
      <c r="J439" s="1513"/>
    </row>
    <row r="440" spans="1:10">
      <c r="A440" s="1513"/>
      <c r="J440" s="1513"/>
    </row>
    <row r="441" spans="1:10">
      <c r="A441" s="1513"/>
      <c r="J441" s="1513"/>
    </row>
    <row r="442" spans="1:10">
      <c r="A442" s="1513"/>
      <c r="J442" s="1513"/>
    </row>
    <row r="443" spans="1:10">
      <c r="A443" s="1513"/>
      <c r="J443" s="1513"/>
    </row>
    <row r="444" spans="1:10">
      <c r="A444" s="1513"/>
      <c r="J444" s="1513"/>
    </row>
    <row r="445" spans="1:10">
      <c r="A445" s="1513"/>
      <c r="J445" s="1513"/>
    </row>
    <row r="446" spans="1:10">
      <c r="A446" s="1513"/>
      <c r="J446" s="1513"/>
    </row>
    <row r="447" spans="1:10">
      <c r="A447" s="1513"/>
      <c r="J447" s="1513"/>
    </row>
    <row r="448" spans="1:10">
      <c r="A448" s="1513"/>
      <c r="J448" s="1513"/>
    </row>
    <row r="449" spans="1:10">
      <c r="A449" s="1513"/>
      <c r="J449" s="1513"/>
    </row>
    <row r="450" spans="1:10">
      <c r="A450" s="1513"/>
      <c r="J450" s="1513"/>
    </row>
    <row r="451" spans="1:10">
      <c r="A451" s="1513"/>
      <c r="J451" s="1513"/>
    </row>
    <row r="452" spans="1:10">
      <c r="A452" s="1513"/>
      <c r="J452" s="1513"/>
    </row>
    <row r="453" spans="1:10">
      <c r="A453" s="1513"/>
      <c r="J453" s="1513"/>
    </row>
    <row r="454" spans="1:10">
      <c r="A454" s="1513"/>
      <c r="J454" s="1513"/>
    </row>
    <row r="455" spans="1:10">
      <c r="A455" s="1513"/>
      <c r="J455" s="1513"/>
    </row>
    <row r="456" spans="1:10">
      <c r="A456" s="1513"/>
      <c r="J456" s="1513"/>
    </row>
    <row r="457" spans="1:10">
      <c r="A457" s="1513"/>
      <c r="J457" s="1513"/>
    </row>
    <row r="458" spans="1:10">
      <c r="A458" s="1513"/>
      <c r="J458" s="1513"/>
    </row>
    <row r="459" spans="1:10">
      <c r="A459" s="1513"/>
      <c r="J459" s="1513"/>
    </row>
    <row r="460" spans="1:10">
      <c r="A460" s="1513"/>
      <c r="J460" s="1513"/>
    </row>
    <row r="461" spans="1:10">
      <c r="A461" s="1513"/>
      <c r="J461" s="1513"/>
    </row>
    <row r="462" spans="1:10">
      <c r="A462" s="1513"/>
      <c r="J462" s="1513"/>
    </row>
    <row r="463" spans="1:10">
      <c r="A463" s="1513"/>
      <c r="J463" s="1513"/>
    </row>
    <row r="464" spans="1:10">
      <c r="A464" s="1513"/>
      <c r="J464" s="1513"/>
    </row>
    <row r="465" spans="1:10">
      <c r="A465" s="1513"/>
      <c r="J465" s="1513"/>
    </row>
    <row r="466" spans="1:10">
      <c r="A466" s="1513"/>
      <c r="J466" s="1513"/>
    </row>
    <row r="467" spans="1:10">
      <c r="A467" s="1513"/>
      <c r="J467" s="1513"/>
    </row>
    <row r="468" spans="1:10">
      <c r="A468" s="1513"/>
      <c r="J468" s="1513"/>
    </row>
    <row r="469" spans="1:10">
      <c r="A469" s="1513"/>
      <c r="J469" s="1513"/>
    </row>
    <row r="470" spans="1:10">
      <c r="A470" s="1513"/>
      <c r="J470" s="1513"/>
    </row>
    <row r="471" spans="1:10">
      <c r="A471" s="1513"/>
      <c r="J471" s="1513"/>
    </row>
    <row r="472" spans="1:10">
      <c r="A472" s="1513"/>
      <c r="J472" s="1513"/>
    </row>
    <row r="473" spans="1:10">
      <c r="A473" s="1513"/>
      <c r="J473" s="1513"/>
    </row>
    <row r="474" spans="1:10">
      <c r="A474" s="1513"/>
      <c r="J474" s="1513"/>
    </row>
    <row r="475" spans="1:10">
      <c r="A475" s="1513"/>
      <c r="J475" s="1513"/>
    </row>
    <row r="476" spans="1:10">
      <c r="A476" s="1513"/>
      <c r="J476" s="1513"/>
    </row>
    <row r="477" spans="1:10">
      <c r="A477" s="1513"/>
      <c r="J477" s="1513"/>
    </row>
    <row r="478" spans="1:10">
      <c r="A478" s="1513"/>
      <c r="J478" s="1513"/>
    </row>
    <row r="479" spans="1:10">
      <c r="A479" s="1513"/>
      <c r="J479" s="1513"/>
    </row>
    <row r="480" spans="1:10">
      <c r="A480" s="1513"/>
      <c r="J480" s="1513"/>
    </row>
    <row r="481" spans="1:10">
      <c r="A481" s="1513"/>
      <c r="J481" s="1513"/>
    </row>
    <row r="482" spans="1:10">
      <c r="A482" s="1513"/>
      <c r="J482" s="1513"/>
    </row>
    <row r="483" spans="1:10">
      <c r="A483" s="1513"/>
      <c r="J483" s="1513"/>
    </row>
    <row r="484" spans="1:10">
      <c r="A484" s="1513"/>
      <c r="J484" s="1513"/>
    </row>
    <row r="485" spans="1:10">
      <c r="A485" s="1513"/>
      <c r="J485" s="1513"/>
    </row>
    <row r="486" spans="1:10">
      <c r="A486" s="1513"/>
      <c r="J486" s="1513"/>
    </row>
    <row r="487" spans="1:10">
      <c r="A487" s="1513"/>
      <c r="J487" s="1513"/>
    </row>
    <row r="488" spans="1:10">
      <c r="A488" s="1513"/>
      <c r="J488" s="1513"/>
    </row>
    <row r="489" spans="1:10">
      <c r="A489" s="1513"/>
      <c r="J489" s="1513"/>
    </row>
    <row r="490" spans="1:10">
      <c r="A490" s="1513"/>
      <c r="J490" s="1513"/>
    </row>
    <row r="491" spans="1:10">
      <c r="A491" s="1513"/>
      <c r="J491" s="1513"/>
    </row>
    <row r="492" spans="1:10">
      <c r="A492" s="1513"/>
      <c r="J492" s="1513"/>
    </row>
    <row r="493" spans="1:10">
      <c r="A493" s="1513"/>
      <c r="J493" s="1513"/>
    </row>
    <row r="494" spans="1:10">
      <c r="A494" s="1513"/>
      <c r="J494" s="1513"/>
    </row>
    <row r="495" spans="1:10">
      <c r="A495" s="1513"/>
      <c r="J495" s="1513"/>
    </row>
    <row r="496" spans="1:10">
      <c r="A496" s="1513"/>
      <c r="J496" s="1513"/>
    </row>
    <row r="497" spans="1:10">
      <c r="A497" s="1513"/>
      <c r="J497" s="1513"/>
    </row>
    <row r="498" spans="1:10">
      <c r="A498" s="1513"/>
      <c r="J498" s="1513"/>
    </row>
    <row r="499" spans="1:10">
      <c r="A499" s="1513"/>
      <c r="J499" s="1513"/>
    </row>
    <row r="500" spans="1:10">
      <c r="A500" s="1513"/>
      <c r="J500" s="1513"/>
    </row>
    <row r="501" spans="1:10">
      <c r="A501" s="1513"/>
      <c r="J501" s="1513"/>
    </row>
    <row r="502" spans="1:10">
      <c r="A502" s="1513"/>
      <c r="J502" s="1513"/>
    </row>
    <row r="503" spans="1:10">
      <c r="A503" s="1513"/>
      <c r="J503" s="1513"/>
    </row>
    <row r="504" spans="1:10">
      <c r="A504" s="1513"/>
      <c r="J504" s="1513"/>
    </row>
    <row r="505" spans="1:10">
      <c r="A505" s="1513"/>
      <c r="J505" s="1513"/>
    </row>
    <row r="506" spans="1:10">
      <c r="A506" s="1513"/>
      <c r="J506" s="1513"/>
    </row>
    <row r="507" spans="1:10">
      <c r="A507" s="1513"/>
      <c r="J507" s="1513"/>
    </row>
    <row r="508" spans="1:10">
      <c r="A508" s="1513"/>
      <c r="J508" s="1513"/>
    </row>
    <row r="509" spans="1:10">
      <c r="A509" s="1513"/>
      <c r="J509" s="1513"/>
    </row>
    <row r="510" spans="1:10">
      <c r="A510" s="1513"/>
      <c r="J510" s="1513"/>
    </row>
    <row r="511" spans="1:10">
      <c r="A511" s="1513"/>
      <c r="J511" s="1513"/>
    </row>
    <row r="512" spans="1:10">
      <c r="A512" s="1513"/>
      <c r="J512" s="1513"/>
    </row>
    <row r="513" spans="1:10">
      <c r="A513" s="1513"/>
      <c r="J513" s="1513"/>
    </row>
    <row r="514" spans="1:10">
      <c r="A514" s="1513"/>
      <c r="J514" s="1513"/>
    </row>
    <row r="515" spans="1:10">
      <c r="A515" s="1513"/>
      <c r="J515" s="1513"/>
    </row>
    <row r="516" spans="1:10">
      <c r="A516" s="1513"/>
      <c r="J516" s="1513"/>
    </row>
    <row r="517" spans="1:10">
      <c r="A517" s="1513"/>
      <c r="J517" s="1513"/>
    </row>
    <row r="518" spans="1:10">
      <c r="A518" s="1513"/>
      <c r="J518" s="1513"/>
    </row>
    <row r="519" spans="1:10">
      <c r="A519" s="1513"/>
      <c r="J519" s="1513"/>
    </row>
    <row r="520" spans="1:10">
      <c r="A520" s="1513"/>
      <c r="J520" s="1513"/>
    </row>
    <row r="521" spans="1:10">
      <c r="A521" s="1513"/>
      <c r="J521" s="1513"/>
    </row>
    <row r="522" spans="1:10">
      <c r="A522" s="1513"/>
      <c r="J522" s="1513"/>
    </row>
    <row r="523" spans="1:10">
      <c r="A523" s="1513"/>
      <c r="J523" s="1513"/>
    </row>
    <row r="524" spans="1:10">
      <c r="A524" s="1513"/>
      <c r="J524" s="1513"/>
    </row>
    <row r="525" spans="1:10">
      <c r="A525" s="1513"/>
      <c r="J525" s="1513"/>
    </row>
    <row r="526" spans="1:10">
      <c r="A526" s="1513"/>
      <c r="J526" s="1513"/>
    </row>
    <row r="527" spans="1:10">
      <c r="A527" s="1513"/>
      <c r="J527" s="1513"/>
    </row>
    <row r="528" spans="1:10">
      <c r="A528" s="1513"/>
      <c r="J528" s="1513"/>
    </row>
    <row r="529" spans="1:10">
      <c r="A529" s="1513"/>
      <c r="J529" s="1513"/>
    </row>
    <row r="530" spans="1:10">
      <c r="A530" s="1513"/>
      <c r="J530" s="1513"/>
    </row>
    <row r="531" spans="1:10">
      <c r="A531" s="1513"/>
      <c r="J531" s="1513"/>
    </row>
    <row r="532" spans="1:10">
      <c r="A532" s="1513"/>
      <c r="J532" s="1513"/>
    </row>
    <row r="533" spans="1:10">
      <c r="A533" s="1513"/>
      <c r="J533" s="1513"/>
    </row>
    <row r="534" spans="1:10">
      <c r="A534" s="1513"/>
      <c r="J534" s="1513"/>
    </row>
    <row r="535" spans="1:10">
      <c r="A535" s="1513"/>
      <c r="J535" s="1513"/>
    </row>
    <row r="536" spans="1:10">
      <c r="A536" s="1513"/>
      <c r="J536" s="1513"/>
    </row>
    <row r="537" spans="1:10">
      <c r="A537" s="1513"/>
      <c r="J537" s="1513"/>
    </row>
    <row r="538" spans="1:10">
      <c r="A538" s="1513"/>
      <c r="J538" s="1513"/>
    </row>
    <row r="539" spans="1:10">
      <c r="A539" s="1513"/>
      <c r="J539" s="1513"/>
    </row>
    <row r="540" spans="1:10">
      <c r="A540" s="1513"/>
      <c r="J540" s="1513"/>
    </row>
    <row r="541" spans="1:10">
      <c r="A541" s="1513"/>
      <c r="J541" s="1513"/>
    </row>
    <row r="542" spans="1:10">
      <c r="A542" s="1513"/>
      <c r="J542" s="1513"/>
    </row>
    <row r="543" spans="1:10">
      <c r="A543" s="1513"/>
      <c r="J543" s="1513"/>
    </row>
    <row r="544" spans="1:10">
      <c r="A544" s="1513"/>
      <c r="J544" s="1513"/>
    </row>
    <row r="545" spans="1:10">
      <c r="A545" s="1513"/>
      <c r="J545" s="1513"/>
    </row>
    <row r="546" spans="1:10">
      <c r="A546" s="1513"/>
      <c r="J546" s="1513"/>
    </row>
    <row r="547" spans="1:10">
      <c r="A547" s="1513"/>
      <c r="J547" s="1513"/>
    </row>
    <row r="548" spans="1:10">
      <c r="A548" s="1513"/>
      <c r="J548" s="1513"/>
    </row>
    <row r="549" spans="1:10">
      <c r="A549" s="1513"/>
      <c r="J549" s="1513"/>
    </row>
    <row r="550" spans="1:10">
      <c r="A550" s="1513"/>
      <c r="J550" s="1513"/>
    </row>
    <row r="551" spans="1:10">
      <c r="A551" s="1513"/>
      <c r="J551" s="1513"/>
    </row>
    <row r="552" spans="1:10">
      <c r="A552" s="1513"/>
      <c r="J552" s="1513"/>
    </row>
    <row r="553" spans="1:10">
      <c r="A553" s="1513"/>
      <c r="J553" s="1513"/>
    </row>
    <row r="554" spans="1:10">
      <c r="A554" s="1513"/>
      <c r="J554" s="1513"/>
    </row>
    <row r="555" spans="1:10">
      <c r="A555" s="1513"/>
      <c r="J555" s="1513"/>
    </row>
    <row r="556" spans="1:10">
      <c r="A556" s="1513"/>
      <c r="J556" s="1513"/>
    </row>
    <row r="557" spans="1:10">
      <c r="A557" s="1513"/>
      <c r="J557" s="1513"/>
    </row>
    <row r="558" spans="1:10">
      <c r="A558" s="1513"/>
      <c r="J558" s="1513"/>
    </row>
    <row r="559" spans="1:10">
      <c r="A559" s="1513"/>
      <c r="J559" s="1513"/>
    </row>
    <row r="560" spans="1:10">
      <c r="A560" s="1513"/>
      <c r="J560" s="1513"/>
    </row>
    <row r="561" spans="1:10">
      <c r="A561" s="1513"/>
      <c r="J561" s="1513"/>
    </row>
    <row r="562" spans="1:10">
      <c r="A562" s="1513"/>
      <c r="J562" s="1513"/>
    </row>
    <row r="563" spans="1:10">
      <c r="A563" s="1513"/>
      <c r="J563" s="1513"/>
    </row>
    <row r="564" spans="1:10">
      <c r="A564" s="1513"/>
      <c r="J564" s="1513"/>
    </row>
    <row r="565" spans="1:10">
      <c r="A565" s="1513"/>
      <c r="J565" s="1513"/>
    </row>
    <row r="566" spans="1:10">
      <c r="A566" s="1513"/>
      <c r="J566" s="1513"/>
    </row>
    <row r="567" spans="1:10">
      <c r="A567" s="1513"/>
      <c r="J567" s="1513"/>
    </row>
    <row r="568" spans="1:10">
      <c r="A568" s="1513"/>
      <c r="J568" s="1513"/>
    </row>
    <row r="569" spans="1:10">
      <c r="A569" s="1513"/>
      <c r="J569" s="1513"/>
    </row>
    <row r="570" spans="1:10">
      <c r="A570" s="1513"/>
      <c r="J570" s="1513"/>
    </row>
    <row r="571" spans="1:10">
      <c r="A571" s="1513"/>
      <c r="J571" s="1513"/>
    </row>
    <row r="572" spans="1:10">
      <c r="A572" s="1513"/>
      <c r="J572" s="1513"/>
    </row>
    <row r="573" spans="1:10">
      <c r="A573" s="1513"/>
      <c r="J573" s="1513"/>
    </row>
    <row r="574" spans="1:10">
      <c r="A574" s="1513"/>
      <c r="J574" s="1513"/>
    </row>
    <row r="575" spans="1:10">
      <c r="A575" s="1513"/>
      <c r="J575" s="1513"/>
    </row>
    <row r="576" spans="1:10">
      <c r="A576" s="1513"/>
      <c r="J576" s="1513"/>
    </row>
    <row r="577" spans="1:10">
      <c r="A577" s="1513"/>
      <c r="J577" s="1513"/>
    </row>
    <row r="578" spans="1:10">
      <c r="A578" s="1513"/>
      <c r="J578" s="1513"/>
    </row>
    <row r="579" spans="1:10">
      <c r="A579" s="1513"/>
      <c r="J579" s="1513"/>
    </row>
    <row r="580" spans="1:10">
      <c r="A580" s="1513"/>
      <c r="J580" s="1513"/>
    </row>
    <row r="581" spans="1:10">
      <c r="A581" s="1513"/>
      <c r="J581" s="1513"/>
    </row>
    <row r="582" spans="1:10">
      <c r="A582" s="1513"/>
      <c r="J582" s="1513"/>
    </row>
    <row r="583" spans="1:10">
      <c r="A583" s="1513"/>
      <c r="J583" s="1513"/>
    </row>
    <row r="584" spans="1:10">
      <c r="A584" s="1513"/>
      <c r="J584" s="1513"/>
    </row>
    <row r="585" spans="1:10">
      <c r="A585" s="1513"/>
      <c r="J585" s="1513"/>
    </row>
    <row r="586" spans="1:10">
      <c r="A586" s="1513"/>
      <c r="J586" s="1513"/>
    </row>
    <row r="587" spans="1:10">
      <c r="A587" s="1513"/>
      <c r="J587" s="1513"/>
    </row>
    <row r="588" spans="1:10">
      <c r="A588" s="1513"/>
      <c r="J588" s="1513"/>
    </row>
    <row r="589" spans="1:10">
      <c r="A589" s="1513"/>
      <c r="J589" s="1513"/>
    </row>
    <row r="590" spans="1:10">
      <c r="A590" s="1513"/>
      <c r="J590" s="1513"/>
    </row>
    <row r="591" spans="1:10">
      <c r="A591" s="1513"/>
      <c r="J591" s="1513"/>
    </row>
    <row r="592" spans="1:10">
      <c r="A592" s="1513"/>
      <c r="J592" s="1513"/>
    </row>
    <row r="593" spans="1:10">
      <c r="A593" s="1513"/>
      <c r="J593" s="1513"/>
    </row>
    <row r="594" spans="1:10">
      <c r="A594" s="1513"/>
      <c r="J594" s="1513"/>
    </row>
    <row r="595" spans="1:10">
      <c r="A595" s="1513"/>
      <c r="J595" s="1513"/>
    </row>
    <row r="596" spans="1:10">
      <c r="A596" s="1513"/>
      <c r="J596" s="1513"/>
    </row>
    <row r="597" spans="1:10">
      <c r="A597" s="1513"/>
      <c r="J597" s="1513"/>
    </row>
    <row r="598" spans="1:10">
      <c r="A598" s="1513"/>
      <c r="J598" s="1513"/>
    </row>
    <row r="599" spans="1:10">
      <c r="A599" s="1513"/>
      <c r="J599" s="1513"/>
    </row>
    <row r="600" spans="1:10">
      <c r="A600" s="1513"/>
      <c r="J600" s="1513"/>
    </row>
    <row r="601" spans="1:10">
      <c r="A601" s="1513"/>
      <c r="J601" s="1513"/>
    </row>
    <row r="602" spans="1:10">
      <c r="A602" s="1513"/>
      <c r="J602" s="1513"/>
    </row>
    <row r="603" spans="1:10">
      <c r="A603" s="1513"/>
      <c r="J603" s="1513"/>
    </row>
    <row r="604" spans="1:10">
      <c r="A604" s="1513"/>
      <c r="J604" s="1513"/>
    </row>
    <row r="605" spans="1:10">
      <c r="A605" s="1513"/>
      <c r="J605" s="1513"/>
    </row>
    <row r="606" spans="1:10">
      <c r="A606" s="1513"/>
      <c r="J606" s="1513"/>
    </row>
    <row r="607" spans="1:10">
      <c r="A607" s="1513"/>
      <c r="J607" s="1513"/>
    </row>
    <row r="608" spans="1:10">
      <c r="A608" s="1513"/>
      <c r="J608" s="1513"/>
    </row>
    <row r="609" spans="1:10">
      <c r="A609" s="1513"/>
      <c r="J609" s="1513"/>
    </row>
    <row r="610" spans="1:10">
      <c r="A610" s="1513"/>
      <c r="J610" s="1513"/>
    </row>
    <row r="611" spans="1:10">
      <c r="A611" s="1513"/>
      <c r="J611" s="1513"/>
    </row>
    <row r="612" spans="1:10">
      <c r="A612" s="1513"/>
      <c r="J612" s="1513"/>
    </row>
    <row r="613" spans="1:10">
      <c r="A613" s="1513"/>
      <c r="J613" s="1513"/>
    </row>
    <row r="614" spans="1:10">
      <c r="A614" s="1513"/>
      <c r="J614" s="1513"/>
    </row>
    <row r="615" spans="1:10">
      <c r="A615" s="1513"/>
      <c r="J615" s="1513"/>
    </row>
    <row r="616" spans="1:10">
      <c r="A616" s="1513"/>
      <c r="J616" s="1513"/>
    </row>
    <row r="617" spans="1:10">
      <c r="A617" s="1513"/>
      <c r="J617" s="1513"/>
    </row>
    <row r="618" spans="1:10">
      <c r="A618" s="1513"/>
      <c r="J618" s="1513"/>
    </row>
    <row r="619" spans="1:10">
      <c r="A619" s="1513"/>
      <c r="J619" s="1513"/>
    </row>
    <row r="620" spans="1:10">
      <c r="A620" s="1513"/>
      <c r="J620" s="1513"/>
    </row>
    <row r="621" spans="1:10">
      <c r="A621" s="1513"/>
      <c r="J621" s="1513"/>
    </row>
    <row r="622" spans="1:10">
      <c r="A622" s="1513"/>
      <c r="J622" s="1513"/>
    </row>
    <row r="623" spans="1:10">
      <c r="A623" s="1513"/>
      <c r="J623" s="1513"/>
    </row>
    <row r="624" spans="1:10">
      <c r="A624" s="1513"/>
      <c r="J624" s="1513"/>
    </row>
    <row r="625" spans="1:10">
      <c r="A625" s="1513"/>
      <c r="J625" s="1513"/>
    </row>
    <row r="626" spans="1:10">
      <c r="A626" s="1513"/>
      <c r="J626" s="1513"/>
    </row>
    <row r="627" spans="1:10">
      <c r="A627" s="1513"/>
      <c r="J627" s="1513"/>
    </row>
    <row r="628" spans="1:10">
      <c r="A628" s="1513"/>
      <c r="J628" s="1513"/>
    </row>
    <row r="629" spans="1:10">
      <c r="A629" s="1513"/>
      <c r="J629" s="1513"/>
    </row>
    <row r="630" spans="1:10">
      <c r="A630" s="1513"/>
      <c r="J630" s="1513"/>
    </row>
    <row r="631" spans="1:10">
      <c r="A631" s="1513"/>
      <c r="J631" s="1513"/>
    </row>
    <row r="632" spans="1:10">
      <c r="A632" s="1513"/>
      <c r="J632" s="1513"/>
    </row>
    <row r="633" spans="1:10">
      <c r="A633" s="1513"/>
      <c r="J633" s="1513"/>
    </row>
    <row r="634" spans="1:10">
      <c r="A634" s="1513"/>
      <c r="J634" s="1513"/>
    </row>
    <row r="635" spans="1:10">
      <c r="A635" s="1513"/>
      <c r="J635" s="1513"/>
    </row>
    <row r="636" spans="1:10">
      <c r="A636" s="1513"/>
      <c r="J636" s="1513"/>
    </row>
    <row r="637" spans="1:10">
      <c r="A637" s="1513"/>
      <c r="J637" s="1513"/>
    </row>
    <row r="638" spans="1:10">
      <c r="A638" s="1513"/>
      <c r="J638" s="1513"/>
    </row>
    <row r="639" spans="1:10">
      <c r="A639" s="1513"/>
      <c r="J639" s="1513"/>
    </row>
    <row r="640" spans="1:10">
      <c r="A640" s="1513"/>
      <c r="J640" s="1513"/>
    </row>
    <row r="641" spans="1:10">
      <c r="A641" s="1513"/>
      <c r="J641" s="1513"/>
    </row>
    <row r="642" spans="1:10">
      <c r="A642" s="1513"/>
      <c r="J642" s="1513"/>
    </row>
    <row r="643" spans="1:10">
      <c r="A643" s="1513"/>
      <c r="J643" s="1513"/>
    </row>
    <row r="644" spans="1:10">
      <c r="A644" s="1513"/>
      <c r="J644" s="1513"/>
    </row>
    <row r="645" spans="1:10">
      <c r="A645" s="1513"/>
      <c r="J645" s="1513"/>
    </row>
    <row r="646" spans="1:10">
      <c r="A646" s="1513"/>
      <c r="J646" s="1513"/>
    </row>
    <row r="647" spans="1:10">
      <c r="A647" s="1513"/>
      <c r="J647" s="1513"/>
    </row>
    <row r="648" spans="1:10">
      <c r="A648" s="1513"/>
      <c r="J648" s="1513"/>
    </row>
    <row r="649" spans="1:10">
      <c r="A649" s="1513"/>
      <c r="J649" s="1513"/>
    </row>
    <row r="650" spans="1:10">
      <c r="A650" s="1513"/>
      <c r="J650" s="1513"/>
    </row>
    <row r="651" spans="1:10">
      <c r="A651" s="1513"/>
      <c r="J651" s="1513"/>
    </row>
    <row r="652" spans="1:10">
      <c r="A652" s="1513"/>
      <c r="J652" s="1513"/>
    </row>
    <row r="653" spans="1:10">
      <c r="A653" s="1513"/>
      <c r="J653" s="1513"/>
    </row>
    <row r="654" spans="1:10">
      <c r="A654" s="1513"/>
      <c r="J654" s="1513"/>
    </row>
    <row r="655" spans="1:10">
      <c r="A655" s="1513"/>
      <c r="J655" s="1513"/>
    </row>
    <row r="656" spans="1:10">
      <c r="A656" s="1513"/>
      <c r="J656" s="1513"/>
    </row>
    <row r="657" spans="1:10">
      <c r="A657" s="1513"/>
      <c r="J657" s="1513"/>
    </row>
    <row r="658" spans="1:10">
      <c r="A658" s="1513"/>
      <c r="J658" s="1513"/>
    </row>
    <row r="659" spans="1:10">
      <c r="A659" s="1513"/>
      <c r="J659" s="1513"/>
    </row>
    <row r="660" spans="1:10">
      <c r="A660" s="1513"/>
      <c r="J660" s="1513"/>
    </row>
    <row r="661" spans="1:10">
      <c r="A661" s="1513"/>
      <c r="J661" s="1513"/>
    </row>
    <row r="662" spans="1:10">
      <c r="A662" s="1513"/>
      <c r="J662" s="1513"/>
    </row>
    <row r="663" spans="1:10">
      <c r="A663" s="1513"/>
      <c r="J663" s="1513"/>
    </row>
    <row r="664" spans="1:10">
      <c r="A664" s="1513"/>
      <c r="J664" s="1513"/>
    </row>
    <row r="665" spans="1:10">
      <c r="A665" s="1513"/>
      <c r="J665" s="1513"/>
    </row>
    <row r="666" spans="1:10">
      <c r="A666" s="1513"/>
      <c r="J666" s="1513"/>
    </row>
    <row r="667" spans="1:10">
      <c r="A667" s="1513"/>
      <c r="J667" s="1513"/>
    </row>
    <row r="668" spans="1:10">
      <c r="A668" s="1513"/>
      <c r="J668" s="1513"/>
    </row>
    <row r="669" spans="1:10">
      <c r="A669" s="1513"/>
      <c r="J669" s="1513"/>
    </row>
    <row r="670" spans="1:10">
      <c r="A670" s="1513"/>
      <c r="J670" s="1513"/>
    </row>
    <row r="671" spans="1:10">
      <c r="A671" s="1513"/>
      <c r="J671" s="1513"/>
    </row>
    <row r="672" spans="1:10">
      <c r="A672" s="1513"/>
      <c r="J672" s="1513"/>
    </row>
    <row r="673" spans="1:10">
      <c r="A673" s="1513"/>
      <c r="J673" s="1513"/>
    </row>
    <row r="674" spans="1:10">
      <c r="A674" s="1513"/>
      <c r="J674" s="1513"/>
    </row>
    <row r="675" spans="1:10">
      <c r="A675" s="1513"/>
      <c r="J675" s="1513"/>
    </row>
    <row r="676" spans="1:10">
      <c r="A676" s="1513"/>
      <c r="J676" s="1513"/>
    </row>
    <row r="677" spans="1:10">
      <c r="A677" s="1513"/>
      <c r="J677" s="1513"/>
    </row>
    <row r="678" spans="1:10">
      <c r="A678" s="1513"/>
      <c r="J678" s="1513"/>
    </row>
    <row r="679" spans="1:10">
      <c r="A679" s="1513"/>
      <c r="J679" s="1513"/>
    </row>
    <row r="680" spans="1:10">
      <c r="A680" s="1513"/>
      <c r="J680" s="1513"/>
    </row>
    <row r="681" spans="1:10">
      <c r="A681" s="1513"/>
      <c r="J681" s="1513"/>
    </row>
    <row r="682" spans="1:10">
      <c r="A682" s="1513"/>
      <c r="J682" s="1513"/>
    </row>
    <row r="683" spans="1:10">
      <c r="A683" s="1513"/>
      <c r="J683" s="1513"/>
    </row>
    <row r="684" spans="1:10">
      <c r="A684" s="1513"/>
      <c r="J684" s="1513"/>
    </row>
    <row r="685" spans="1:10">
      <c r="A685" s="1513"/>
      <c r="J685" s="1513"/>
    </row>
    <row r="686" spans="1:10">
      <c r="A686" s="1513"/>
      <c r="J686" s="1513"/>
    </row>
    <row r="687" spans="1:10">
      <c r="A687" s="1513"/>
      <c r="J687" s="1513"/>
    </row>
    <row r="688" spans="1:10">
      <c r="A688" s="1513"/>
      <c r="J688" s="1513"/>
    </row>
    <row r="689" spans="1:10">
      <c r="A689" s="1513"/>
      <c r="J689" s="1513"/>
    </row>
    <row r="690" spans="1:10">
      <c r="A690" s="1513"/>
      <c r="J690" s="1513"/>
    </row>
    <row r="691" spans="1:10">
      <c r="A691" s="1513"/>
      <c r="J691" s="1513"/>
    </row>
    <row r="692" spans="1:10">
      <c r="A692" s="1513"/>
      <c r="J692" s="1513"/>
    </row>
    <row r="693" spans="1:10">
      <c r="A693" s="1513"/>
      <c r="J693" s="1513"/>
    </row>
    <row r="694" spans="1:10">
      <c r="A694" s="1513"/>
      <c r="J694" s="1513"/>
    </row>
    <row r="695" spans="1:10">
      <c r="A695" s="1513"/>
      <c r="J695" s="1513"/>
    </row>
    <row r="696" spans="1:10">
      <c r="A696" s="1513"/>
      <c r="J696" s="1513"/>
    </row>
    <row r="697" spans="1:10">
      <c r="A697" s="1513"/>
      <c r="J697" s="1513"/>
    </row>
    <row r="698" spans="1:10">
      <c r="A698" s="1513"/>
      <c r="J698" s="1513"/>
    </row>
    <row r="699" spans="1:10">
      <c r="A699" s="1513"/>
      <c r="J699" s="1513"/>
    </row>
    <row r="700" spans="1:10">
      <c r="A700" s="1513"/>
      <c r="J700" s="1513"/>
    </row>
    <row r="701" spans="1:10">
      <c r="A701" s="1513"/>
      <c r="J701" s="1513"/>
    </row>
    <row r="702" spans="1:10">
      <c r="A702" s="1513"/>
      <c r="J702" s="1513"/>
    </row>
    <row r="703" spans="1:10">
      <c r="A703" s="1513"/>
      <c r="J703" s="1513"/>
    </row>
    <row r="704" spans="1:10">
      <c r="A704" s="1513"/>
      <c r="J704" s="1513"/>
    </row>
    <row r="705" spans="1:10">
      <c r="A705" s="1513"/>
      <c r="J705" s="1513"/>
    </row>
    <row r="706" spans="1:10">
      <c r="A706" s="1513"/>
      <c r="J706" s="1513"/>
    </row>
    <row r="707" spans="1:10">
      <c r="A707" s="1513"/>
      <c r="J707" s="1513"/>
    </row>
    <row r="708" spans="1:10">
      <c r="A708" s="1513"/>
      <c r="J708" s="1513"/>
    </row>
    <row r="709" spans="1:10">
      <c r="A709" s="1513"/>
      <c r="J709" s="1513"/>
    </row>
    <row r="710" spans="1:10">
      <c r="A710" s="1513"/>
      <c r="J710" s="1513"/>
    </row>
    <row r="711" spans="1:10">
      <c r="A711" s="1513"/>
      <c r="J711" s="1513"/>
    </row>
    <row r="712" spans="1:10">
      <c r="A712" s="1513"/>
      <c r="J712" s="1513"/>
    </row>
    <row r="713" spans="1:10">
      <c r="A713" s="1513"/>
      <c r="J713" s="1513"/>
    </row>
    <row r="714" spans="1:10">
      <c r="A714" s="1513"/>
      <c r="J714" s="1513"/>
    </row>
    <row r="715" spans="1:10">
      <c r="A715" s="1513"/>
      <c r="J715" s="1513"/>
    </row>
    <row r="716" spans="1:10">
      <c r="A716" s="1513"/>
      <c r="J716" s="1513"/>
    </row>
    <row r="717" spans="1:10">
      <c r="A717" s="1513"/>
      <c r="J717" s="1513"/>
    </row>
    <row r="718" spans="1:10">
      <c r="A718" s="1513"/>
      <c r="J718" s="1513"/>
    </row>
    <row r="719" spans="1:10">
      <c r="A719" s="1513"/>
      <c r="J719" s="1513"/>
    </row>
    <row r="720" spans="1:10">
      <c r="A720" s="1513"/>
      <c r="J720" s="1513"/>
    </row>
    <row r="721" spans="1:10">
      <c r="A721" s="1513"/>
      <c r="J721" s="1513"/>
    </row>
    <row r="722" spans="1:10">
      <c r="A722" s="1513"/>
      <c r="J722" s="1513"/>
    </row>
    <row r="723" spans="1:10">
      <c r="A723" s="1513"/>
      <c r="J723" s="1513"/>
    </row>
    <row r="724" spans="1:10">
      <c r="A724" s="1513"/>
      <c r="J724" s="1513"/>
    </row>
    <row r="725" spans="1:10">
      <c r="A725" s="1513"/>
      <c r="J725" s="1513"/>
    </row>
    <row r="726" spans="1:10">
      <c r="A726" s="1513"/>
      <c r="J726" s="1513"/>
    </row>
    <row r="727" spans="1:10">
      <c r="A727" s="1513"/>
      <c r="J727" s="1513"/>
    </row>
    <row r="728" spans="1:10">
      <c r="A728" s="1513"/>
      <c r="J728" s="1513"/>
    </row>
    <row r="729" spans="1:10">
      <c r="A729" s="1513"/>
      <c r="J729" s="1513"/>
    </row>
    <row r="730" spans="1:10">
      <c r="A730" s="1513"/>
      <c r="J730" s="1513"/>
    </row>
    <row r="731" spans="1:10">
      <c r="A731" s="1513"/>
      <c r="J731" s="1513"/>
    </row>
    <row r="732" spans="1:10">
      <c r="A732" s="1513"/>
      <c r="J732" s="1513"/>
    </row>
    <row r="733" spans="1:10">
      <c r="A733" s="1513"/>
      <c r="J733" s="1513"/>
    </row>
    <row r="734" spans="1:10">
      <c r="A734" s="1513"/>
      <c r="J734" s="1513"/>
    </row>
    <row r="735" spans="1:10">
      <c r="A735" s="1513"/>
      <c r="J735" s="1513"/>
    </row>
    <row r="736" spans="1:10">
      <c r="A736" s="1513"/>
      <c r="J736" s="1513"/>
    </row>
    <row r="737" spans="1:10">
      <c r="A737" s="1513"/>
      <c r="J737" s="1513"/>
    </row>
    <row r="738" spans="1:10">
      <c r="A738" s="1513"/>
      <c r="J738" s="1513"/>
    </row>
    <row r="739" spans="1:10">
      <c r="A739" s="1513"/>
      <c r="J739" s="1513"/>
    </row>
    <row r="740" spans="1:10">
      <c r="A740" s="1513"/>
      <c r="J740" s="1513"/>
    </row>
    <row r="741" spans="1:10">
      <c r="A741" s="1513"/>
      <c r="J741" s="1513"/>
    </row>
    <row r="742" spans="1:10">
      <c r="A742" s="1513"/>
      <c r="J742" s="1513"/>
    </row>
    <row r="743" spans="1:10">
      <c r="A743" s="1513"/>
      <c r="J743" s="1513"/>
    </row>
    <row r="744" spans="1:10">
      <c r="A744" s="1513"/>
      <c r="J744" s="1513"/>
    </row>
    <row r="745" spans="1:10">
      <c r="A745" s="1513"/>
      <c r="J745" s="1513"/>
    </row>
    <row r="746" spans="1:10">
      <c r="A746" s="1513"/>
      <c r="J746" s="1513"/>
    </row>
    <row r="747" spans="1:10">
      <c r="A747" s="1513"/>
      <c r="J747" s="1513"/>
    </row>
    <row r="748" spans="1:10">
      <c r="A748" s="1513"/>
      <c r="J748" s="1513"/>
    </row>
    <row r="749" spans="1:10">
      <c r="A749" s="1513"/>
      <c r="J749" s="1513"/>
    </row>
    <row r="750" spans="1:10">
      <c r="A750" s="1513"/>
      <c r="J750" s="1513"/>
    </row>
    <row r="751" spans="1:10">
      <c r="A751" s="1513"/>
      <c r="J751" s="1513"/>
    </row>
    <row r="752" spans="1:10">
      <c r="A752" s="1513"/>
      <c r="J752" s="1513"/>
    </row>
    <row r="753" spans="1:10">
      <c r="A753" s="1513"/>
      <c r="J753" s="1513"/>
    </row>
    <row r="754" spans="1:10">
      <c r="A754" s="1513"/>
      <c r="J754" s="1513"/>
    </row>
    <row r="755" spans="1:10">
      <c r="A755" s="1513"/>
      <c r="J755" s="1513"/>
    </row>
    <row r="756" spans="1:10">
      <c r="A756" s="1513"/>
      <c r="J756" s="1513"/>
    </row>
    <row r="757" spans="1:10">
      <c r="A757" s="1513"/>
      <c r="J757" s="1513"/>
    </row>
    <row r="758" spans="1:10">
      <c r="A758" s="1513"/>
      <c r="J758" s="1513"/>
    </row>
    <row r="759" spans="1:10">
      <c r="A759" s="1513"/>
      <c r="J759" s="1513"/>
    </row>
    <row r="760" spans="1:10">
      <c r="A760" s="1513"/>
      <c r="J760" s="1513"/>
    </row>
    <row r="761" spans="1:10">
      <c r="A761" s="1513"/>
      <c r="J761" s="1513"/>
    </row>
    <row r="762" spans="1:10">
      <c r="A762" s="1513"/>
      <c r="J762" s="1513"/>
    </row>
    <row r="763" spans="1:10">
      <c r="A763" s="1513"/>
      <c r="J763" s="1513"/>
    </row>
    <row r="764" spans="1:10">
      <c r="A764" s="1513"/>
      <c r="J764" s="1513"/>
    </row>
    <row r="765" spans="1:10">
      <c r="A765" s="1513"/>
      <c r="J765" s="1513"/>
    </row>
    <row r="766" spans="1:10">
      <c r="A766" s="1513"/>
      <c r="J766" s="1513"/>
    </row>
    <row r="767" spans="1:10">
      <c r="A767" s="1513"/>
      <c r="J767" s="1513"/>
    </row>
    <row r="768" spans="1:10">
      <c r="A768" s="1513"/>
      <c r="J768" s="1513"/>
    </row>
    <row r="769" spans="1:10">
      <c r="A769" s="1513"/>
      <c r="J769" s="1513"/>
    </row>
    <row r="770" spans="1:10">
      <c r="A770" s="1513"/>
      <c r="J770" s="1513"/>
    </row>
    <row r="771" spans="1:10">
      <c r="A771" s="1513"/>
      <c r="J771" s="1513"/>
    </row>
    <row r="772" spans="1:10">
      <c r="A772" s="1513"/>
      <c r="J772" s="1513"/>
    </row>
    <row r="773" spans="1:10">
      <c r="A773" s="1513"/>
      <c r="J773" s="1513"/>
    </row>
    <row r="774" spans="1:10">
      <c r="A774" s="1513"/>
      <c r="J774" s="1513"/>
    </row>
    <row r="775" spans="1:10">
      <c r="A775" s="1513"/>
      <c r="J775" s="1513"/>
    </row>
    <row r="776" spans="1:10">
      <c r="A776" s="1513"/>
      <c r="J776" s="1513"/>
    </row>
    <row r="777" spans="1:10">
      <c r="A777" s="1513"/>
      <c r="J777" s="1513"/>
    </row>
    <row r="778" spans="1:10">
      <c r="A778" s="1513"/>
      <c r="J778" s="1513"/>
    </row>
    <row r="779" spans="1:10">
      <c r="A779" s="1513"/>
      <c r="J779" s="1513"/>
    </row>
    <row r="780" spans="1:10">
      <c r="A780" s="1513"/>
      <c r="J780" s="1513"/>
    </row>
    <row r="781" spans="1:10">
      <c r="A781" s="1513"/>
      <c r="J781" s="1513"/>
    </row>
    <row r="782" spans="1:10">
      <c r="A782" s="1513"/>
      <c r="J782" s="1513"/>
    </row>
    <row r="783" spans="1:10">
      <c r="A783" s="1513"/>
      <c r="J783" s="1513"/>
    </row>
    <row r="784" spans="1:10">
      <c r="A784" s="1513"/>
      <c r="J784" s="1513"/>
    </row>
    <row r="785" spans="1:10">
      <c r="A785" s="1513"/>
      <c r="J785" s="1513"/>
    </row>
    <row r="786" spans="1:10">
      <c r="A786" s="1513"/>
      <c r="J786" s="1513"/>
    </row>
    <row r="787" spans="1:10">
      <c r="A787" s="1513"/>
      <c r="J787" s="1513"/>
    </row>
    <row r="788" spans="1:10">
      <c r="A788" s="1513"/>
      <c r="J788" s="1513"/>
    </row>
    <row r="789" spans="1:10">
      <c r="A789" s="1513"/>
      <c r="J789" s="1513"/>
    </row>
    <row r="790" spans="1:10">
      <c r="A790" s="1513"/>
      <c r="J790" s="1513"/>
    </row>
    <row r="791" spans="1:10">
      <c r="A791" s="1513"/>
      <c r="J791" s="1513"/>
    </row>
    <row r="792" spans="1:10">
      <c r="A792" s="1513"/>
      <c r="J792" s="1513"/>
    </row>
    <row r="793" spans="1:10">
      <c r="A793" s="1513"/>
      <c r="J793" s="1513"/>
    </row>
    <row r="794" spans="1:10">
      <c r="A794" s="1513"/>
      <c r="J794" s="1513"/>
    </row>
    <row r="795" spans="1:10">
      <c r="A795" s="1513"/>
      <c r="J795" s="1513"/>
    </row>
    <row r="796" spans="1:10">
      <c r="A796" s="1513"/>
      <c r="J796" s="1513"/>
    </row>
    <row r="797" spans="1:10">
      <c r="A797" s="1513"/>
      <c r="J797" s="1513"/>
    </row>
    <row r="798" spans="1:10">
      <c r="A798" s="1513"/>
      <c r="J798" s="1513"/>
    </row>
    <row r="799" spans="1:10">
      <c r="A799" s="1513"/>
      <c r="J799" s="1513"/>
    </row>
    <row r="800" spans="1:10">
      <c r="A800" s="1513"/>
      <c r="J800" s="1513"/>
    </row>
    <row r="801" spans="1:10">
      <c r="A801" s="1513"/>
      <c r="J801" s="1513"/>
    </row>
    <row r="802" spans="1:10">
      <c r="A802" s="1513"/>
      <c r="J802" s="1513"/>
    </row>
    <row r="803" spans="1:10">
      <c r="A803" s="1513"/>
      <c r="J803" s="1513"/>
    </row>
    <row r="804" spans="1:10">
      <c r="A804" s="1513"/>
      <c r="J804" s="1513"/>
    </row>
    <row r="805" spans="1:10">
      <c r="A805" s="1513"/>
      <c r="J805" s="1513"/>
    </row>
    <row r="806" spans="1:10">
      <c r="A806" s="1513"/>
      <c r="J806" s="1513"/>
    </row>
    <row r="807" spans="1:10">
      <c r="A807" s="1513"/>
      <c r="J807" s="1513"/>
    </row>
    <row r="808" spans="1:10">
      <c r="A808" s="1513"/>
      <c r="J808" s="1513"/>
    </row>
    <row r="809" spans="1:10">
      <c r="A809" s="1513"/>
      <c r="J809" s="1513"/>
    </row>
    <row r="810" spans="1:10">
      <c r="A810" s="1513"/>
      <c r="J810" s="1513"/>
    </row>
    <row r="811" spans="1:10">
      <c r="A811" s="1513"/>
      <c r="J811" s="1513"/>
    </row>
    <row r="812" spans="1:10">
      <c r="A812" s="1513"/>
      <c r="J812" s="1513"/>
    </row>
    <row r="813" spans="1:10">
      <c r="A813" s="1513"/>
      <c r="J813" s="1513"/>
    </row>
    <row r="814" spans="1:10">
      <c r="A814" s="1513"/>
      <c r="J814" s="1513"/>
    </row>
    <row r="815" spans="1:10">
      <c r="A815" s="1513"/>
      <c r="J815" s="1513"/>
    </row>
    <row r="816" spans="1:10">
      <c r="A816" s="1513"/>
      <c r="J816" s="1513"/>
    </row>
    <row r="817" spans="1:10">
      <c r="A817" s="1513"/>
      <c r="J817" s="1513"/>
    </row>
    <row r="818" spans="1:10">
      <c r="A818" s="1513"/>
      <c r="J818" s="1513"/>
    </row>
    <row r="819" spans="1:10">
      <c r="A819" s="1513"/>
      <c r="J819" s="1513"/>
    </row>
    <row r="820" spans="1:10">
      <c r="A820" s="1513"/>
      <c r="J820" s="1513"/>
    </row>
    <row r="821" spans="1:10">
      <c r="A821" s="1513"/>
      <c r="J821" s="1513"/>
    </row>
    <row r="822" spans="1:10">
      <c r="A822" s="1513"/>
      <c r="J822" s="1513"/>
    </row>
    <row r="823" spans="1:10">
      <c r="A823" s="1513"/>
      <c r="J823" s="1513"/>
    </row>
    <row r="824" spans="1:10">
      <c r="A824" s="1513"/>
      <c r="J824" s="1513"/>
    </row>
    <row r="825" spans="1:10">
      <c r="A825" s="1513"/>
      <c r="J825" s="1513"/>
    </row>
    <row r="826" spans="1:10">
      <c r="A826" s="1513"/>
      <c r="J826" s="1513"/>
    </row>
    <row r="827" spans="1:10">
      <c r="A827" s="1513"/>
      <c r="J827" s="1513"/>
    </row>
    <row r="828" spans="1:10">
      <c r="A828" s="1513"/>
      <c r="J828" s="1513"/>
    </row>
    <row r="829" spans="1:10">
      <c r="A829" s="1513"/>
      <c r="J829" s="1513"/>
    </row>
    <row r="830" spans="1:10">
      <c r="A830" s="1513"/>
      <c r="J830" s="1513"/>
    </row>
    <row r="831" spans="1:10">
      <c r="A831" s="1513"/>
      <c r="J831" s="1513"/>
    </row>
    <row r="832" spans="1:10">
      <c r="A832" s="1513"/>
      <c r="J832" s="1513"/>
    </row>
    <row r="833" spans="1:10">
      <c r="A833" s="1513"/>
      <c r="J833" s="1513"/>
    </row>
    <row r="834" spans="1:10">
      <c r="A834" s="1513"/>
      <c r="J834" s="1513"/>
    </row>
    <row r="835" spans="1:10">
      <c r="A835" s="1513"/>
      <c r="J835" s="1513"/>
    </row>
    <row r="836" spans="1:10">
      <c r="A836" s="1513"/>
      <c r="J836" s="1513"/>
    </row>
    <row r="837" spans="1:10">
      <c r="A837" s="1513"/>
      <c r="J837" s="1513"/>
    </row>
    <row r="838" spans="1:10">
      <c r="A838" s="1513"/>
      <c r="J838" s="1513"/>
    </row>
    <row r="839" spans="1:10">
      <c r="A839" s="1513"/>
      <c r="J839" s="1513"/>
    </row>
    <row r="840" spans="1:10">
      <c r="A840" s="1513"/>
      <c r="J840" s="1513"/>
    </row>
    <row r="841" spans="1:10">
      <c r="A841" s="1513"/>
      <c r="J841" s="1513"/>
    </row>
    <row r="842" spans="1:10">
      <c r="A842" s="1513"/>
      <c r="J842" s="1513"/>
    </row>
    <row r="843" spans="1:10">
      <c r="A843" s="1513"/>
      <c r="J843" s="1513"/>
    </row>
    <row r="844" spans="1:10">
      <c r="A844" s="1513"/>
      <c r="J844" s="1513"/>
    </row>
    <row r="845" spans="1:10">
      <c r="A845" s="1513"/>
      <c r="J845" s="1513"/>
    </row>
    <row r="846" spans="1:10">
      <c r="A846" s="1513"/>
      <c r="J846" s="1513"/>
    </row>
    <row r="847" spans="1:10">
      <c r="A847" s="1513"/>
      <c r="J847" s="1513"/>
    </row>
    <row r="848" spans="1:10">
      <c r="A848" s="1513"/>
      <c r="J848" s="1513"/>
    </row>
    <row r="849" spans="1:10">
      <c r="A849" s="1513"/>
      <c r="J849" s="1513"/>
    </row>
    <row r="850" spans="1:10">
      <c r="A850" s="1513"/>
      <c r="J850" s="1513"/>
    </row>
    <row r="851" spans="1:10">
      <c r="A851" s="1513"/>
      <c r="J851" s="1513"/>
    </row>
    <row r="852" spans="1:10">
      <c r="A852" s="1513"/>
      <c r="J852" s="1513"/>
    </row>
    <row r="853" spans="1:10">
      <c r="A853" s="1513"/>
      <c r="J853" s="1513"/>
    </row>
    <row r="854" spans="1:10">
      <c r="A854" s="1513"/>
      <c r="J854" s="1513"/>
    </row>
    <row r="855" spans="1:10">
      <c r="A855" s="1513"/>
      <c r="J855" s="1513"/>
    </row>
    <row r="856" spans="1:10">
      <c r="A856" s="1513"/>
      <c r="J856" s="1513"/>
    </row>
    <row r="857" spans="1:10">
      <c r="A857" s="1513"/>
      <c r="J857" s="1513"/>
    </row>
    <row r="858" spans="1:10">
      <c r="A858" s="1513"/>
      <c r="J858" s="1513"/>
    </row>
    <row r="859" spans="1:10">
      <c r="A859" s="1513"/>
      <c r="J859" s="1513"/>
    </row>
    <row r="860" spans="1:10">
      <c r="A860" s="1513"/>
      <c r="J860" s="1513"/>
    </row>
    <row r="861" spans="1:10">
      <c r="A861" s="1513"/>
      <c r="J861" s="1513"/>
    </row>
    <row r="862" spans="1:10">
      <c r="A862" s="1513"/>
      <c r="J862" s="1513"/>
    </row>
    <row r="863" spans="1:10">
      <c r="A863" s="1513"/>
      <c r="J863" s="1513"/>
    </row>
    <row r="864" spans="1:10">
      <c r="A864" s="1513"/>
      <c r="J864" s="1513"/>
    </row>
    <row r="865" spans="1:10">
      <c r="A865" s="1513"/>
      <c r="J865" s="1513"/>
    </row>
    <row r="866" spans="1:10">
      <c r="A866" s="1513"/>
      <c r="J866" s="1513"/>
    </row>
    <row r="867" spans="1:10">
      <c r="A867" s="1513"/>
      <c r="J867" s="1513"/>
    </row>
    <row r="868" spans="1:10">
      <c r="A868" s="1513"/>
      <c r="J868" s="1513"/>
    </row>
    <row r="869" spans="1:10">
      <c r="A869" s="1513"/>
      <c r="J869" s="1513"/>
    </row>
    <row r="870" spans="1:10">
      <c r="A870" s="1513"/>
      <c r="J870" s="1513"/>
    </row>
    <row r="871" spans="1:10">
      <c r="A871" s="1513"/>
      <c r="J871" s="1513"/>
    </row>
    <row r="872" spans="1:10">
      <c r="A872" s="1513"/>
      <c r="J872" s="1513"/>
    </row>
    <row r="873" spans="1:10">
      <c r="A873" s="1513"/>
      <c r="J873" s="1513"/>
    </row>
    <row r="874" spans="1:10">
      <c r="A874" s="1513"/>
      <c r="J874" s="1513"/>
    </row>
    <row r="875" spans="1:10">
      <c r="A875" s="1513"/>
      <c r="J875" s="1513"/>
    </row>
    <row r="876" spans="1:10">
      <c r="A876" s="1513"/>
      <c r="J876" s="1513"/>
    </row>
    <row r="877" spans="1:10">
      <c r="A877" s="1513"/>
      <c r="J877" s="1513"/>
    </row>
    <row r="878" spans="1:10">
      <c r="A878" s="1513"/>
      <c r="J878" s="1513"/>
    </row>
    <row r="879" spans="1:10">
      <c r="A879" s="1513"/>
      <c r="J879" s="1513"/>
    </row>
    <row r="880" spans="1:10">
      <c r="A880" s="1513"/>
      <c r="J880" s="1513"/>
    </row>
    <row r="881" spans="1:10">
      <c r="A881" s="1513"/>
      <c r="J881" s="1513"/>
    </row>
    <row r="882" spans="1:10">
      <c r="A882" s="1513"/>
      <c r="J882" s="1513"/>
    </row>
    <row r="883" spans="1:10">
      <c r="A883" s="1513"/>
      <c r="J883" s="1513"/>
    </row>
    <row r="884" spans="1:10">
      <c r="A884" s="1513"/>
      <c r="J884" s="1513"/>
    </row>
    <row r="885" spans="1:10">
      <c r="A885" s="1513"/>
      <c r="J885" s="1513"/>
    </row>
    <row r="886" spans="1:10">
      <c r="A886" s="1513"/>
      <c r="J886" s="1513"/>
    </row>
    <row r="887" spans="1:10">
      <c r="A887" s="1513"/>
      <c r="J887" s="1513"/>
    </row>
    <row r="888" spans="1:10">
      <c r="A888" s="1513"/>
      <c r="J888" s="1513"/>
    </row>
    <row r="889" spans="1:10">
      <c r="A889" s="1513"/>
      <c r="J889" s="1513"/>
    </row>
    <row r="890" spans="1:10">
      <c r="A890" s="1513"/>
      <c r="J890" s="1513"/>
    </row>
    <row r="891" spans="1:10">
      <c r="A891" s="1513"/>
      <c r="J891" s="1513"/>
    </row>
    <row r="892" spans="1:10">
      <c r="A892" s="1513"/>
      <c r="J892" s="1513"/>
    </row>
    <row r="893" spans="1:10">
      <c r="A893" s="1513"/>
      <c r="J893" s="1513"/>
    </row>
    <row r="894" spans="1:10">
      <c r="A894" s="1513"/>
      <c r="J894" s="1513"/>
    </row>
    <row r="895" spans="1:10">
      <c r="A895" s="1513"/>
      <c r="J895" s="1513"/>
    </row>
    <row r="896" spans="1:10">
      <c r="A896" s="1513"/>
      <c r="J896" s="1513"/>
    </row>
    <row r="897" spans="1:10">
      <c r="A897" s="1513"/>
      <c r="J897" s="1513"/>
    </row>
    <row r="898" spans="1:10">
      <c r="A898" s="1513"/>
      <c r="J898" s="1513"/>
    </row>
    <row r="899" spans="1:10">
      <c r="A899" s="1513"/>
      <c r="J899" s="1513"/>
    </row>
    <row r="900" spans="1:10">
      <c r="A900" s="1513"/>
      <c r="J900" s="1513"/>
    </row>
    <row r="901" spans="1:10">
      <c r="A901" s="1513"/>
      <c r="J901" s="1513"/>
    </row>
    <row r="902" spans="1:10">
      <c r="A902" s="1513"/>
      <c r="J902" s="1513"/>
    </row>
    <row r="903" spans="1:10">
      <c r="A903" s="1513"/>
      <c r="J903" s="1513"/>
    </row>
    <row r="904" spans="1:10">
      <c r="A904" s="1513"/>
      <c r="J904" s="1513"/>
    </row>
    <row r="905" spans="1:10">
      <c r="A905" s="1513"/>
      <c r="J905" s="1513"/>
    </row>
    <row r="906" spans="1:10">
      <c r="A906" s="1513"/>
      <c r="J906" s="1513"/>
    </row>
    <row r="907" spans="1:10">
      <c r="A907" s="1513"/>
      <c r="J907" s="1513"/>
    </row>
    <row r="908" spans="1:10">
      <c r="A908" s="1513"/>
      <c r="J908" s="1513"/>
    </row>
    <row r="909" spans="1:10">
      <c r="A909" s="1513"/>
      <c r="J909" s="1513"/>
    </row>
    <row r="910" spans="1:10">
      <c r="A910" s="1513"/>
      <c r="J910" s="1513"/>
    </row>
    <row r="911" spans="1:10">
      <c r="A911" s="1513"/>
      <c r="J911" s="1513"/>
    </row>
    <row r="912" spans="1:10">
      <c r="A912" s="1513"/>
      <c r="J912" s="1513"/>
    </row>
    <row r="913" spans="1:10">
      <c r="A913" s="1513"/>
      <c r="J913" s="1513"/>
    </row>
    <row r="914" spans="1:10">
      <c r="A914" s="1513"/>
      <c r="J914" s="1513"/>
    </row>
    <row r="915" spans="1:10">
      <c r="A915" s="1513"/>
      <c r="J915" s="1513"/>
    </row>
    <row r="916" spans="1:10">
      <c r="A916" s="1513"/>
      <c r="J916" s="1513"/>
    </row>
    <row r="917" spans="1:10">
      <c r="A917" s="1513"/>
      <c r="J917" s="1513"/>
    </row>
    <row r="918" spans="1:10">
      <c r="A918" s="1513"/>
      <c r="J918" s="1513"/>
    </row>
    <row r="919" spans="1:10">
      <c r="A919" s="1513"/>
      <c r="J919" s="1513"/>
    </row>
    <row r="920" spans="1:10">
      <c r="A920" s="1513"/>
      <c r="J920" s="1513"/>
    </row>
    <row r="921" spans="1:10">
      <c r="A921" s="1513"/>
      <c r="J921" s="1513"/>
    </row>
    <row r="922" spans="1:10">
      <c r="A922" s="1513"/>
      <c r="J922" s="1513"/>
    </row>
    <row r="923" spans="1:10">
      <c r="A923" s="1513"/>
      <c r="J923" s="1513"/>
    </row>
    <row r="924" spans="1:10">
      <c r="A924" s="1513"/>
      <c r="J924" s="1513"/>
    </row>
    <row r="925" spans="1:10">
      <c r="A925" s="1513"/>
      <c r="J925" s="1513"/>
    </row>
    <row r="926" spans="1:10">
      <c r="A926" s="1513"/>
      <c r="J926" s="1513"/>
    </row>
    <row r="927" spans="1:10">
      <c r="A927" s="1513"/>
      <c r="J927" s="1513"/>
    </row>
    <row r="928" spans="1:10">
      <c r="A928" s="1513"/>
      <c r="J928" s="1513"/>
    </row>
    <row r="929" spans="1:10">
      <c r="A929" s="1513"/>
      <c r="J929" s="1513"/>
    </row>
    <row r="930" spans="1:10">
      <c r="A930" s="1513"/>
      <c r="J930" s="1513"/>
    </row>
    <row r="931" spans="1:10">
      <c r="A931" s="1513"/>
      <c r="J931" s="1513"/>
    </row>
    <row r="932" spans="1:10">
      <c r="A932" s="1513"/>
      <c r="J932" s="1513"/>
    </row>
    <row r="933" spans="1:10">
      <c r="A933" s="1513"/>
      <c r="J933" s="1513"/>
    </row>
    <row r="934" spans="1:10">
      <c r="A934" s="1513"/>
      <c r="J934" s="1513"/>
    </row>
    <row r="935" spans="1:10">
      <c r="A935" s="1513"/>
      <c r="J935" s="1513"/>
    </row>
    <row r="936" spans="1:10">
      <c r="A936" s="1513"/>
      <c r="J936" s="1513"/>
    </row>
    <row r="937" spans="1:10">
      <c r="A937" s="1513"/>
      <c r="J937" s="1513"/>
    </row>
    <row r="938" spans="1:10">
      <c r="A938" s="1513"/>
      <c r="J938" s="1513"/>
    </row>
    <row r="939" spans="1:10">
      <c r="A939" s="1513"/>
      <c r="J939" s="1513"/>
    </row>
    <row r="940" spans="1:10">
      <c r="A940" s="1513"/>
      <c r="J940" s="1513"/>
    </row>
    <row r="941" spans="1:10">
      <c r="A941" s="1513"/>
      <c r="J941" s="1513"/>
    </row>
    <row r="942" spans="1:10">
      <c r="A942" s="1513"/>
      <c r="J942" s="1513"/>
    </row>
    <row r="943" spans="1:10">
      <c r="A943" s="1513"/>
      <c r="J943" s="1513"/>
    </row>
    <row r="944" spans="1:10">
      <c r="A944" s="1513"/>
      <c r="J944" s="1513"/>
    </row>
    <row r="945" spans="1:10">
      <c r="A945" s="1513"/>
      <c r="J945" s="1513"/>
    </row>
    <row r="946" spans="1:10">
      <c r="A946" s="1513"/>
      <c r="J946" s="1513"/>
    </row>
    <row r="947" spans="1:10">
      <c r="A947" s="1513"/>
      <c r="J947" s="1513"/>
    </row>
    <row r="948" spans="1:10">
      <c r="A948" s="1513"/>
      <c r="J948" s="1513"/>
    </row>
    <row r="949" spans="1:10">
      <c r="A949" s="1513"/>
      <c r="J949" s="1513"/>
    </row>
    <row r="950" spans="1:10">
      <c r="A950" s="1513"/>
      <c r="J950" s="1513"/>
    </row>
    <row r="951" spans="1:10">
      <c r="A951" s="1513"/>
      <c r="J951" s="1513"/>
    </row>
    <row r="952" spans="1:10">
      <c r="A952" s="1513"/>
      <c r="J952" s="1513"/>
    </row>
    <row r="953" spans="1:10">
      <c r="A953" s="1513"/>
      <c r="J953" s="1513"/>
    </row>
    <row r="954" spans="1:10">
      <c r="A954" s="1513"/>
      <c r="J954" s="1513"/>
    </row>
    <row r="955" spans="1:10">
      <c r="A955" s="1513"/>
      <c r="J955" s="1513"/>
    </row>
    <row r="956" spans="1:10">
      <c r="A956" s="1513"/>
      <c r="J956" s="1513"/>
    </row>
    <row r="957" spans="1:10">
      <c r="A957" s="1513"/>
      <c r="J957" s="1513"/>
    </row>
    <row r="958" spans="1:10">
      <c r="A958" s="1513"/>
      <c r="J958" s="1513"/>
    </row>
    <row r="959" spans="1:10">
      <c r="A959" s="1513"/>
      <c r="J959" s="1513"/>
    </row>
    <row r="960" spans="1:10">
      <c r="A960" s="1513"/>
      <c r="J960" s="1513"/>
    </row>
    <row r="961" spans="1:10">
      <c r="A961" s="1513"/>
      <c r="J961" s="1513"/>
    </row>
    <row r="962" spans="1:10">
      <c r="A962" s="1513"/>
      <c r="J962" s="1513"/>
    </row>
    <row r="963" spans="1:10">
      <c r="A963" s="1513"/>
      <c r="J963" s="1513"/>
    </row>
    <row r="964" spans="1:10">
      <c r="A964" s="1513"/>
      <c r="J964" s="1513"/>
    </row>
    <row r="965" spans="1:10">
      <c r="A965" s="1513"/>
      <c r="J965" s="1513"/>
    </row>
    <row r="966" spans="1:10">
      <c r="A966" s="1513"/>
      <c r="J966" s="1513"/>
    </row>
    <row r="967" spans="1:10">
      <c r="A967" s="1513"/>
      <c r="J967" s="1513"/>
    </row>
    <row r="968" spans="1:10">
      <c r="A968" s="1513"/>
      <c r="J968" s="1513"/>
    </row>
    <row r="969" spans="1:10">
      <c r="A969" s="1513"/>
      <c r="J969" s="1513"/>
    </row>
    <row r="970" spans="1:10">
      <c r="A970" s="1513"/>
      <c r="J970" s="1513"/>
    </row>
    <row r="971" spans="1:10">
      <c r="A971" s="1513"/>
      <c r="J971" s="1513"/>
    </row>
    <row r="972" spans="1:10">
      <c r="A972" s="1513"/>
      <c r="J972" s="1513"/>
    </row>
    <row r="973" spans="1:10">
      <c r="A973" s="1513"/>
      <c r="J973" s="1513"/>
    </row>
    <row r="974" spans="1:10">
      <c r="A974" s="1513"/>
      <c r="J974" s="1513"/>
    </row>
    <row r="975" spans="1:10">
      <c r="A975" s="1513"/>
      <c r="J975" s="1513"/>
    </row>
    <row r="976" spans="1:10">
      <c r="A976" s="1513"/>
      <c r="J976" s="1513"/>
    </row>
    <row r="977" spans="1:10">
      <c r="A977" s="1513"/>
      <c r="J977" s="1513"/>
    </row>
    <row r="978" spans="1:10">
      <c r="A978" s="1513"/>
      <c r="J978" s="1513"/>
    </row>
    <row r="979" spans="1:10">
      <c r="A979" s="1513"/>
      <c r="J979" s="1513"/>
    </row>
    <row r="980" spans="1:10">
      <c r="A980" s="1513"/>
      <c r="J980" s="1513"/>
    </row>
    <row r="981" spans="1:10">
      <c r="A981" s="1513"/>
      <c r="J981" s="1513"/>
    </row>
    <row r="982" spans="1:10">
      <c r="A982" s="1513"/>
      <c r="J982" s="1513"/>
    </row>
    <row r="983" spans="1:10">
      <c r="A983" s="1513"/>
      <c r="J983" s="1513"/>
    </row>
    <row r="984" spans="1:10">
      <c r="A984" s="1513"/>
      <c r="J984" s="1513"/>
    </row>
    <row r="985" spans="1:10">
      <c r="A985" s="1513"/>
      <c r="J985" s="1513"/>
    </row>
    <row r="986" spans="1:10">
      <c r="A986" s="1513"/>
      <c r="J986" s="1513"/>
    </row>
    <row r="987" spans="1:10">
      <c r="A987" s="1513"/>
      <c r="J987" s="1513"/>
    </row>
    <row r="988" spans="1:10">
      <c r="A988" s="1513"/>
      <c r="J988" s="1513"/>
    </row>
    <row r="989" spans="1:10">
      <c r="A989" s="1513"/>
      <c r="J989" s="1513"/>
    </row>
    <row r="990" spans="1:10">
      <c r="A990" s="1513"/>
      <c r="J990" s="1513"/>
    </row>
    <row r="991" spans="1:10">
      <c r="A991" s="1513"/>
      <c r="J991" s="1513"/>
    </row>
    <row r="992" spans="1:10">
      <c r="A992" s="1513"/>
      <c r="J992" s="1513"/>
    </row>
    <row r="993" spans="1:10">
      <c r="A993" s="1513"/>
      <c r="J993" s="1513"/>
    </row>
    <row r="994" spans="1:10">
      <c r="A994" s="1513"/>
      <c r="J994" s="1513"/>
    </row>
    <row r="995" spans="1:10">
      <c r="A995" s="1513"/>
      <c r="J995" s="1513"/>
    </row>
    <row r="996" spans="1:10">
      <c r="A996" s="1513"/>
      <c r="J996" s="1513"/>
    </row>
    <row r="997" spans="1:10">
      <c r="A997" s="1513"/>
      <c r="J997" s="1513"/>
    </row>
    <row r="998" spans="1:10">
      <c r="A998" s="1513"/>
      <c r="J998" s="1513"/>
    </row>
    <row r="999" spans="1:10">
      <c r="A999" s="1513"/>
      <c r="J999" s="1513"/>
    </row>
    <row r="1000" spans="1:10">
      <c r="A1000" s="1513"/>
      <c r="J1000" s="1513"/>
    </row>
    <row r="1001" spans="1:10">
      <c r="A1001" s="1513"/>
      <c r="J1001" s="1513"/>
    </row>
    <row r="1002" spans="1:10">
      <c r="A1002" s="1513"/>
      <c r="J1002" s="1513"/>
    </row>
    <row r="1003" spans="1:10">
      <c r="A1003" s="1513"/>
      <c r="J1003" s="1513"/>
    </row>
    <row r="1004" spans="1:10">
      <c r="A1004" s="1513"/>
      <c r="J1004" s="1513"/>
    </row>
    <row r="1005" spans="1:10">
      <c r="A1005" s="1513"/>
      <c r="J1005" s="1513"/>
    </row>
    <row r="1006" spans="1:10">
      <c r="A1006" s="1513"/>
      <c r="J1006" s="1513"/>
    </row>
    <row r="1007" spans="1:10">
      <c r="A1007" s="1513"/>
      <c r="J1007" s="1513"/>
    </row>
    <row r="1008" spans="1:10">
      <c r="A1008" s="1513"/>
      <c r="J1008" s="1513"/>
    </row>
    <row r="1009" spans="1:10">
      <c r="A1009" s="1513"/>
      <c r="J1009" s="1513"/>
    </row>
    <row r="1010" spans="1:10">
      <c r="A1010" s="1513"/>
      <c r="J1010" s="1513"/>
    </row>
    <row r="1011" spans="1:10">
      <c r="A1011" s="1513"/>
      <c r="J1011" s="1513"/>
    </row>
    <row r="1012" spans="1:10">
      <c r="A1012" s="1513"/>
      <c r="J1012" s="1513"/>
    </row>
    <row r="1013" spans="1:10">
      <c r="A1013" s="1513"/>
      <c r="J1013" s="1513"/>
    </row>
    <row r="1014" spans="1:10">
      <c r="A1014" s="1513"/>
      <c r="J1014" s="1513"/>
    </row>
    <row r="1015" spans="1:10">
      <c r="A1015" s="1513"/>
      <c r="J1015" s="1513"/>
    </row>
    <row r="1016" spans="1:10">
      <c r="A1016" s="1513"/>
      <c r="J1016" s="1513"/>
    </row>
    <row r="1017" spans="1:10">
      <c r="A1017" s="1513"/>
      <c r="J1017" s="1513"/>
    </row>
    <row r="1018" spans="1:10">
      <c r="A1018" s="1513"/>
      <c r="J1018" s="1513"/>
    </row>
    <row r="1019" spans="1:10">
      <c r="A1019" s="1513"/>
      <c r="J1019" s="1513"/>
    </row>
    <row r="1020" spans="1:10">
      <c r="A1020" s="1513"/>
      <c r="J1020" s="1513"/>
    </row>
    <row r="1021" spans="1:10">
      <c r="A1021" s="1513"/>
      <c r="J1021" s="1513"/>
    </row>
    <row r="1022" spans="1:10">
      <c r="A1022" s="1513"/>
      <c r="J1022" s="1513"/>
    </row>
    <row r="1023" spans="1:10">
      <c r="A1023" s="1513"/>
      <c r="J1023" s="1513"/>
    </row>
    <row r="1024" spans="1:10">
      <c r="A1024" s="1513"/>
      <c r="J1024" s="1513"/>
    </row>
    <row r="1025" spans="1:10">
      <c r="A1025" s="1513"/>
      <c r="J1025" s="1513"/>
    </row>
    <row r="1026" spans="1:10">
      <c r="A1026" s="1513"/>
      <c r="J1026" s="1513"/>
    </row>
    <row r="1027" spans="1:10">
      <c r="A1027" s="1513"/>
      <c r="J1027" s="1513"/>
    </row>
    <row r="1028" spans="1:10">
      <c r="A1028" s="1513"/>
      <c r="J1028" s="1513"/>
    </row>
    <row r="1029" spans="1:10">
      <c r="A1029" s="1513"/>
      <c r="J1029" s="1513"/>
    </row>
    <row r="1030" spans="1:10">
      <c r="A1030" s="1513"/>
      <c r="J1030" s="1513"/>
    </row>
    <row r="1031" spans="1:10">
      <c r="A1031" s="1513"/>
      <c r="J1031" s="1513"/>
    </row>
    <row r="1032" spans="1:10">
      <c r="A1032" s="1513"/>
      <c r="J1032" s="1513"/>
    </row>
    <row r="1033" spans="1:10">
      <c r="A1033" s="1513"/>
      <c r="J1033" s="1513"/>
    </row>
    <row r="1034" spans="1:10">
      <c r="A1034" s="1513"/>
      <c r="J1034" s="1513"/>
    </row>
    <row r="1035" spans="1:10">
      <c r="A1035" s="1513"/>
      <c r="J1035" s="1513"/>
    </row>
    <row r="1036" spans="1:10">
      <c r="A1036" s="1513"/>
      <c r="J1036" s="1513"/>
    </row>
    <row r="1037" spans="1:10">
      <c r="A1037" s="1513"/>
      <c r="J1037" s="1513"/>
    </row>
    <row r="1038" spans="1:10">
      <c r="A1038" s="1513"/>
      <c r="J1038" s="1513"/>
    </row>
    <row r="1039" spans="1:10">
      <c r="A1039" s="1513"/>
      <c r="J1039" s="1513"/>
    </row>
    <row r="1040" spans="1:10">
      <c r="A1040" s="1513"/>
      <c r="J1040" s="1513"/>
    </row>
    <row r="1041" spans="1:10">
      <c r="A1041" s="1513"/>
      <c r="J1041" s="1513"/>
    </row>
    <row r="1042" spans="1:10">
      <c r="A1042" s="1513"/>
      <c r="J1042" s="1513"/>
    </row>
    <row r="1043" spans="1:10">
      <c r="A1043" s="1513"/>
      <c r="J1043" s="1513"/>
    </row>
  </sheetData>
  <mergeCells count="16">
    <mergeCell ref="A120:A121"/>
    <mergeCell ref="A151:A152"/>
    <mergeCell ref="A5:J5"/>
    <mergeCell ref="A7:J7"/>
    <mergeCell ref="J8:J10"/>
    <mergeCell ref="B8:B9"/>
    <mergeCell ref="C8:I9"/>
    <mergeCell ref="A54:J54"/>
    <mergeCell ref="J55:J57"/>
    <mergeCell ref="B55:B56"/>
    <mergeCell ref="C55:I56"/>
    <mergeCell ref="M11:N11"/>
    <mergeCell ref="K8:K10"/>
    <mergeCell ref="K32:K46"/>
    <mergeCell ref="K55:K57"/>
    <mergeCell ref="K75:K8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0" firstPageNumber="15" orientation="landscape" useFirstPageNumber="1" r:id="rId1"/>
  <headerFooter alignWithMargins="0">
    <oddHeader>&amp;C&amp;"Arial,Kursywa"Wieloletnia prognoza finansowa Województwa Zachodniopomorskiego na lata 2017 - 2044 
____________________________________________________________________________________________________________________</oddHeader>
    <oddFooter>&amp;C&amp;8&amp;P</oddFooter>
  </headerFooter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07"/>
  <sheetViews>
    <sheetView showGridLines="0" view="pageBreakPreview" zoomScaleNormal="100" zoomScaleSheetLayoutView="100" workbookViewId="0"/>
  </sheetViews>
  <sheetFormatPr defaultRowHeight="11.25"/>
  <cols>
    <col min="1" max="1" width="2.85546875" style="1149" customWidth="1"/>
    <col min="2" max="2" width="60.42578125" style="756" customWidth="1"/>
    <col min="3" max="3" width="10.5703125" style="756" customWidth="1"/>
    <col min="4" max="5" width="13.28515625" style="756" customWidth="1"/>
    <col min="6" max="6" width="10.28515625" style="756" customWidth="1"/>
    <col min="7" max="10" width="9.7109375" style="756" customWidth="1"/>
    <col min="11" max="12" width="9.28515625" style="756" customWidth="1"/>
    <col min="13" max="13" width="11.42578125" style="756" customWidth="1"/>
    <col min="14" max="14" width="15.28515625" style="1196" customWidth="1"/>
    <col min="15" max="15" width="11.85546875" style="756" hidden="1" customWidth="1"/>
    <col min="16" max="16" width="0" style="756" hidden="1" customWidth="1"/>
    <col min="17" max="250" width="9.140625" style="756"/>
    <col min="251" max="251" width="2.85546875" style="756" customWidth="1"/>
    <col min="252" max="252" width="50.7109375" style="756" customWidth="1"/>
    <col min="253" max="253" width="9.42578125" style="756" customWidth="1"/>
    <col min="254" max="254" width="11.85546875" style="756" customWidth="1"/>
    <col min="255" max="255" width="8.42578125" style="756" bestFit="1" customWidth="1"/>
    <col min="256" max="258" width="0" style="756" hidden="1" customWidth="1"/>
    <col min="259" max="259" width="6" style="756" bestFit="1" customWidth="1"/>
    <col min="260" max="260" width="9.5703125" style="756" customWidth="1"/>
    <col min="261" max="261" width="9.85546875" style="756" customWidth="1"/>
    <col min="262" max="262" width="9.7109375" style="756" customWidth="1"/>
    <col min="263" max="263" width="9.5703125" style="756" customWidth="1"/>
    <col min="264" max="264" width="9.85546875" style="756" customWidth="1"/>
    <col min="265" max="265" width="6.5703125" style="756" customWidth="1"/>
    <col min="266" max="266" width="6" style="756" bestFit="1" customWidth="1"/>
    <col min="267" max="267" width="6.28515625" style="756" customWidth="1"/>
    <col min="268" max="268" width="11.7109375" style="756" customWidth="1"/>
    <col min="269" max="269" width="0" style="756" hidden="1" customWidth="1"/>
    <col min="270" max="270" width="14.5703125" style="756" customWidth="1"/>
    <col min="271" max="271" width="11.85546875" style="756" customWidth="1"/>
    <col min="272" max="506" width="9.140625" style="756"/>
    <col min="507" max="507" width="2.85546875" style="756" customWidth="1"/>
    <col min="508" max="508" width="50.7109375" style="756" customWidth="1"/>
    <col min="509" max="509" width="9.42578125" style="756" customWidth="1"/>
    <col min="510" max="510" width="11.85546875" style="756" customWidth="1"/>
    <col min="511" max="511" width="8.42578125" style="756" bestFit="1" customWidth="1"/>
    <col min="512" max="514" width="0" style="756" hidden="1" customWidth="1"/>
    <col min="515" max="515" width="6" style="756" bestFit="1" customWidth="1"/>
    <col min="516" max="516" width="9.5703125" style="756" customWidth="1"/>
    <col min="517" max="517" width="9.85546875" style="756" customWidth="1"/>
    <col min="518" max="518" width="9.7109375" style="756" customWidth="1"/>
    <col min="519" max="519" width="9.5703125" style="756" customWidth="1"/>
    <col min="520" max="520" width="9.85546875" style="756" customWidth="1"/>
    <col min="521" max="521" width="6.5703125" style="756" customWidth="1"/>
    <col min="522" max="522" width="6" style="756" bestFit="1" customWidth="1"/>
    <col min="523" max="523" width="6.28515625" style="756" customWidth="1"/>
    <col min="524" max="524" width="11.7109375" style="756" customWidth="1"/>
    <col min="525" max="525" width="0" style="756" hidden="1" customWidth="1"/>
    <col min="526" max="526" width="14.5703125" style="756" customWidth="1"/>
    <col min="527" max="527" width="11.85546875" style="756" customWidth="1"/>
    <col min="528" max="762" width="9.140625" style="756"/>
    <col min="763" max="763" width="2.85546875" style="756" customWidth="1"/>
    <col min="764" max="764" width="50.7109375" style="756" customWidth="1"/>
    <col min="765" max="765" width="9.42578125" style="756" customWidth="1"/>
    <col min="766" max="766" width="11.85546875" style="756" customWidth="1"/>
    <col min="767" max="767" width="8.42578125" style="756" bestFit="1" customWidth="1"/>
    <col min="768" max="770" width="0" style="756" hidden="1" customWidth="1"/>
    <col min="771" max="771" width="6" style="756" bestFit="1" customWidth="1"/>
    <col min="772" max="772" width="9.5703125" style="756" customWidth="1"/>
    <col min="773" max="773" width="9.85546875" style="756" customWidth="1"/>
    <col min="774" max="774" width="9.7109375" style="756" customWidth="1"/>
    <col min="775" max="775" width="9.5703125" style="756" customWidth="1"/>
    <col min="776" max="776" width="9.85546875" style="756" customWidth="1"/>
    <col min="777" max="777" width="6.5703125" style="756" customWidth="1"/>
    <col min="778" max="778" width="6" style="756" bestFit="1" customWidth="1"/>
    <col min="779" max="779" width="6.28515625" style="756" customWidth="1"/>
    <col min="780" max="780" width="11.7109375" style="756" customWidth="1"/>
    <col min="781" max="781" width="0" style="756" hidden="1" customWidth="1"/>
    <col min="782" max="782" width="14.5703125" style="756" customWidth="1"/>
    <col min="783" max="783" width="11.85546875" style="756" customWidth="1"/>
    <col min="784" max="1018" width="9.140625" style="756"/>
    <col min="1019" max="1019" width="2.85546875" style="756" customWidth="1"/>
    <col min="1020" max="1020" width="50.7109375" style="756" customWidth="1"/>
    <col min="1021" max="1021" width="9.42578125" style="756" customWidth="1"/>
    <col min="1022" max="1022" width="11.85546875" style="756" customWidth="1"/>
    <col min="1023" max="1023" width="8.42578125" style="756" bestFit="1" customWidth="1"/>
    <col min="1024" max="1026" width="0" style="756" hidden="1" customWidth="1"/>
    <col min="1027" max="1027" width="6" style="756" bestFit="1" customWidth="1"/>
    <col min="1028" max="1028" width="9.5703125" style="756" customWidth="1"/>
    <col min="1029" max="1029" width="9.85546875" style="756" customWidth="1"/>
    <col min="1030" max="1030" width="9.7109375" style="756" customWidth="1"/>
    <col min="1031" max="1031" width="9.5703125" style="756" customWidth="1"/>
    <col min="1032" max="1032" width="9.85546875" style="756" customWidth="1"/>
    <col min="1033" max="1033" width="6.5703125" style="756" customWidth="1"/>
    <col min="1034" max="1034" width="6" style="756" bestFit="1" customWidth="1"/>
    <col min="1035" max="1035" width="6.28515625" style="756" customWidth="1"/>
    <col min="1036" max="1036" width="11.7109375" style="756" customWidth="1"/>
    <col min="1037" max="1037" width="0" style="756" hidden="1" customWidth="1"/>
    <col min="1038" max="1038" width="14.5703125" style="756" customWidth="1"/>
    <col min="1039" max="1039" width="11.85546875" style="756" customWidth="1"/>
    <col min="1040" max="1274" width="9.140625" style="756"/>
    <col min="1275" max="1275" width="2.85546875" style="756" customWidth="1"/>
    <col min="1276" max="1276" width="50.7109375" style="756" customWidth="1"/>
    <col min="1277" max="1277" width="9.42578125" style="756" customWidth="1"/>
    <col min="1278" max="1278" width="11.85546875" style="756" customWidth="1"/>
    <col min="1279" max="1279" width="8.42578125" style="756" bestFit="1" customWidth="1"/>
    <col min="1280" max="1282" width="0" style="756" hidden="1" customWidth="1"/>
    <col min="1283" max="1283" width="6" style="756" bestFit="1" customWidth="1"/>
    <col min="1284" max="1284" width="9.5703125" style="756" customWidth="1"/>
    <col min="1285" max="1285" width="9.85546875" style="756" customWidth="1"/>
    <col min="1286" max="1286" width="9.7109375" style="756" customWidth="1"/>
    <col min="1287" max="1287" width="9.5703125" style="756" customWidth="1"/>
    <col min="1288" max="1288" width="9.85546875" style="756" customWidth="1"/>
    <col min="1289" max="1289" width="6.5703125" style="756" customWidth="1"/>
    <col min="1290" max="1290" width="6" style="756" bestFit="1" customWidth="1"/>
    <col min="1291" max="1291" width="6.28515625" style="756" customWidth="1"/>
    <col min="1292" max="1292" width="11.7109375" style="756" customWidth="1"/>
    <col min="1293" max="1293" width="0" style="756" hidden="1" customWidth="1"/>
    <col min="1294" max="1294" width="14.5703125" style="756" customWidth="1"/>
    <col min="1295" max="1295" width="11.85546875" style="756" customWidth="1"/>
    <col min="1296" max="1530" width="9.140625" style="756"/>
    <col min="1531" max="1531" width="2.85546875" style="756" customWidth="1"/>
    <col min="1532" max="1532" width="50.7109375" style="756" customWidth="1"/>
    <col min="1533" max="1533" width="9.42578125" style="756" customWidth="1"/>
    <col min="1534" max="1534" width="11.85546875" style="756" customWidth="1"/>
    <col min="1535" max="1535" width="8.42578125" style="756" bestFit="1" customWidth="1"/>
    <col min="1536" max="1538" width="0" style="756" hidden="1" customWidth="1"/>
    <col min="1539" max="1539" width="6" style="756" bestFit="1" customWidth="1"/>
    <col min="1540" max="1540" width="9.5703125" style="756" customWidth="1"/>
    <col min="1541" max="1541" width="9.85546875" style="756" customWidth="1"/>
    <col min="1542" max="1542" width="9.7109375" style="756" customWidth="1"/>
    <col min="1543" max="1543" width="9.5703125" style="756" customWidth="1"/>
    <col min="1544" max="1544" width="9.85546875" style="756" customWidth="1"/>
    <col min="1545" max="1545" width="6.5703125" style="756" customWidth="1"/>
    <col min="1546" max="1546" width="6" style="756" bestFit="1" customWidth="1"/>
    <col min="1547" max="1547" width="6.28515625" style="756" customWidth="1"/>
    <col min="1548" max="1548" width="11.7109375" style="756" customWidth="1"/>
    <col min="1549" max="1549" width="0" style="756" hidden="1" customWidth="1"/>
    <col min="1550" max="1550" width="14.5703125" style="756" customWidth="1"/>
    <col min="1551" max="1551" width="11.85546875" style="756" customWidth="1"/>
    <col min="1552" max="1786" width="9.140625" style="756"/>
    <col min="1787" max="1787" width="2.85546875" style="756" customWidth="1"/>
    <col min="1788" max="1788" width="50.7109375" style="756" customWidth="1"/>
    <col min="1789" max="1789" width="9.42578125" style="756" customWidth="1"/>
    <col min="1790" max="1790" width="11.85546875" style="756" customWidth="1"/>
    <col min="1791" max="1791" width="8.42578125" style="756" bestFit="1" customWidth="1"/>
    <col min="1792" max="1794" width="0" style="756" hidden="1" customWidth="1"/>
    <col min="1795" max="1795" width="6" style="756" bestFit="1" customWidth="1"/>
    <col min="1796" max="1796" width="9.5703125" style="756" customWidth="1"/>
    <col min="1797" max="1797" width="9.85546875" style="756" customWidth="1"/>
    <col min="1798" max="1798" width="9.7109375" style="756" customWidth="1"/>
    <col min="1799" max="1799" width="9.5703125" style="756" customWidth="1"/>
    <col min="1800" max="1800" width="9.85546875" style="756" customWidth="1"/>
    <col min="1801" max="1801" width="6.5703125" style="756" customWidth="1"/>
    <col min="1802" max="1802" width="6" style="756" bestFit="1" customWidth="1"/>
    <col min="1803" max="1803" width="6.28515625" style="756" customWidth="1"/>
    <col min="1804" max="1804" width="11.7109375" style="756" customWidth="1"/>
    <col min="1805" max="1805" width="0" style="756" hidden="1" customWidth="1"/>
    <col min="1806" max="1806" width="14.5703125" style="756" customWidth="1"/>
    <col min="1807" max="1807" width="11.85546875" style="756" customWidth="1"/>
    <col min="1808" max="2042" width="9.140625" style="756"/>
    <col min="2043" max="2043" width="2.85546875" style="756" customWidth="1"/>
    <col min="2044" max="2044" width="50.7109375" style="756" customWidth="1"/>
    <col min="2045" max="2045" width="9.42578125" style="756" customWidth="1"/>
    <col min="2046" max="2046" width="11.85546875" style="756" customWidth="1"/>
    <col min="2047" max="2047" width="8.42578125" style="756" bestFit="1" customWidth="1"/>
    <col min="2048" max="2050" width="0" style="756" hidden="1" customWidth="1"/>
    <col min="2051" max="2051" width="6" style="756" bestFit="1" customWidth="1"/>
    <col min="2052" max="2052" width="9.5703125" style="756" customWidth="1"/>
    <col min="2053" max="2053" width="9.85546875" style="756" customWidth="1"/>
    <col min="2054" max="2054" width="9.7109375" style="756" customWidth="1"/>
    <col min="2055" max="2055" width="9.5703125" style="756" customWidth="1"/>
    <col min="2056" max="2056" width="9.85546875" style="756" customWidth="1"/>
    <col min="2057" max="2057" width="6.5703125" style="756" customWidth="1"/>
    <col min="2058" max="2058" width="6" style="756" bestFit="1" customWidth="1"/>
    <col min="2059" max="2059" width="6.28515625" style="756" customWidth="1"/>
    <col min="2060" max="2060" width="11.7109375" style="756" customWidth="1"/>
    <col min="2061" max="2061" width="0" style="756" hidden="1" customWidth="1"/>
    <col min="2062" max="2062" width="14.5703125" style="756" customWidth="1"/>
    <col min="2063" max="2063" width="11.85546875" style="756" customWidth="1"/>
    <col min="2064" max="2298" width="9.140625" style="756"/>
    <col min="2299" max="2299" width="2.85546875" style="756" customWidth="1"/>
    <col min="2300" max="2300" width="50.7109375" style="756" customWidth="1"/>
    <col min="2301" max="2301" width="9.42578125" style="756" customWidth="1"/>
    <col min="2302" max="2302" width="11.85546875" style="756" customWidth="1"/>
    <col min="2303" max="2303" width="8.42578125" style="756" bestFit="1" customWidth="1"/>
    <col min="2304" max="2306" width="0" style="756" hidden="1" customWidth="1"/>
    <col min="2307" max="2307" width="6" style="756" bestFit="1" customWidth="1"/>
    <col min="2308" max="2308" width="9.5703125" style="756" customWidth="1"/>
    <col min="2309" max="2309" width="9.85546875" style="756" customWidth="1"/>
    <col min="2310" max="2310" width="9.7109375" style="756" customWidth="1"/>
    <col min="2311" max="2311" width="9.5703125" style="756" customWidth="1"/>
    <col min="2312" max="2312" width="9.85546875" style="756" customWidth="1"/>
    <col min="2313" max="2313" width="6.5703125" style="756" customWidth="1"/>
    <col min="2314" max="2314" width="6" style="756" bestFit="1" customWidth="1"/>
    <col min="2315" max="2315" width="6.28515625" style="756" customWidth="1"/>
    <col min="2316" max="2316" width="11.7109375" style="756" customWidth="1"/>
    <col min="2317" max="2317" width="0" style="756" hidden="1" customWidth="1"/>
    <col min="2318" max="2318" width="14.5703125" style="756" customWidth="1"/>
    <col min="2319" max="2319" width="11.85546875" style="756" customWidth="1"/>
    <col min="2320" max="2554" width="9.140625" style="756"/>
    <col min="2555" max="2555" width="2.85546875" style="756" customWidth="1"/>
    <col min="2556" max="2556" width="50.7109375" style="756" customWidth="1"/>
    <col min="2557" max="2557" width="9.42578125" style="756" customWidth="1"/>
    <col min="2558" max="2558" width="11.85546875" style="756" customWidth="1"/>
    <col min="2559" max="2559" width="8.42578125" style="756" bestFit="1" customWidth="1"/>
    <col min="2560" max="2562" width="0" style="756" hidden="1" customWidth="1"/>
    <col min="2563" max="2563" width="6" style="756" bestFit="1" customWidth="1"/>
    <col min="2564" max="2564" width="9.5703125" style="756" customWidth="1"/>
    <col min="2565" max="2565" width="9.85546875" style="756" customWidth="1"/>
    <col min="2566" max="2566" width="9.7109375" style="756" customWidth="1"/>
    <col min="2567" max="2567" width="9.5703125" style="756" customWidth="1"/>
    <col min="2568" max="2568" width="9.85546875" style="756" customWidth="1"/>
    <col min="2569" max="2569" width="6.5703125" style="756" customWidth="1"/>
    <col min="2570" max="2570" width="6" style="756" bestFit="1" customWidth="1"/>
    <col min="2571" max="2571" width="6.28515625" style="756" customWidth="1"/>
    <col min="2572" max="2572" width="11.7109375" style="756" customWidth="1"/>
    <col min="2573" max="2573" width="0" style="756" hidden="1" customWidth="1"/>
    <col min="2574" max="2574" width="14.5703125" style="756" customWidth="1"/>
    <col min="2575" max="2575" width="11.85546875" style="756" customWidth="1"/>
    <col min="2576" max="2810" width="9.140625" style="756"/>
    <col min="2811" max="2811" width="2.85546875" style="756" customWidth="1"/>
    <col min="2812" max="2812" width="50.7109375" style="756" customWidth="1"/>
    <col min="2813" max="2813" width="9.42578125" style="756" customWidth="1"/>
    <col min="2814" max="2814" width="11.85546875" style="756" customWidth="1"/>
    <col min="2815" max="2815" width="8.42578125" style="756" bestFit="1" customWidth="1"/>
    <col min="2816" max="2818" width="0" style="756" hidden="1" customWidth="1"/>
    <col min="2819" max="2819" width="6" style="756" bestFit="1" customWidth="1"/>
    <col min="2820" max="2820" width="9.5703125" style="756" customWidth="1"/>
    <col min="2821" max="2821" width="9.85546875" style="756" customWidth="1"/>
    <col min="2822" max="2822" width="9.7109375" style="756" customWidth="1"/>
    <col min="2823" max="2823" width="9.5703125" style="756" customWidth="1"/>
    <col min="2824" max="2824" width="9.85546875" style="756" customWidth="1"/>
    <col min="2825" max="2825" width="6.5703125" style="756" customWidth="1"/>
    <col min="2826" max="2826" width="6" style="756" bestFit="1" customWidth="1"/>
    <col min="2827" max="2827" width="6.28515625" style="756" customWidth="1"/>
    <col min="2828" max="2828" width="11.7109375" style="756" customWidth="1"/>
    <col min="2829" max="2829" width="0" style="756" hidden="1" customWidth="1"/>
    <col min="2830" max="2830" width="14.5703125" style="756" customWidth="1"/>
    <col min="2831" max="2831" width="11.85546875" style="756" customWidth="1"/>
    <col min="2832" max="3066" width="9.140625" style="756"/>
    <col min="3067" max="3067" width="2.85546875" style="756" customWidth="1"/>
    <col min="3068" max="3068" width="50.7109375" style="756" customWidth="1"/>
    <col min="3069" max="3069" width="9.42578125" style="756" customWidth="1"/>
    <col min="3070" max="3070" width="11.85546875" style="756" customWidth="1"/>
    <col min="3071" max="3071" width="8.42578125" style="756" bestFit="1" customWidth="1"/>
    <col min="3072" max="3074" width="0" style="756" hidden="1" customWidth="1"/>
    <col min="3075" max="3075" width="6" style="756" bestFit="1" customWidth="1"/>
    <col min="3076" max="3076" width="9.5703125" style="756" customWidth="1"/>
    <col min="3077" max="3077" width="9.85546875" style="756" customWidth="1"/>
    <col min="3078" max="3078" width="9.7109375" style="756" customWidth="1"/>
    <col min="3079" max="3079" width="9.5703125" style="756" customWidth="1"/>
    <col min="3080" max="3080" width="9.85546875" style="756" customWidth="1"/>
    <col min="3081" max="3081" width="6.5703125" style="756" customWidth="1"/>
    <col min="3082" max="3082" width="6" style="756" bestFit="1" customWidth="1"/>
    <col min="3083" max="3083" width="6.28515625" style="756" customWidth="1"/>
    <col min="3084" max="3084" width="11.7109375" style="756" customWidth="1"/>
    <col min="3085" max="3085" width="0" style="756" hidden="1" customWidth="1"/>
    <col min="3086" max="3086" width="14.5703125" style="756" customWidth="1"/>
    <col min="3087" max="3087" width="11.85546875" style="756" customWidth="1"/>
    <col min="3088" max="3322" width="9.140625" style="756"/>
    <col min="3323" max="3323" width="2.85546875" style="756" customWidth="1"/>
    <col min="3324" max="3324" width="50.7109375" style="756" customWidth="1"/>
    <col min="3325" max="3325" width="9.42578125" style="756" customWidth="1"/>
    <col min="3326" max="3326" width="11.85546875" style="756" customWidth="1"/>
    <col min="3327" max="3327" width="8.42578125" style="756" bestFit="1" customWidth="1"/>
    <col min="3328" max="3330" width="0" style="756" hidden="1" customWidth="1"/>
    <col min="3331" max="3331" width="6" style="756" bestFit="1" customWidth="1"/>
    <col min="3332" max="3332" width="9.5703125" style="756" customWidth="1"/>
    <col min="3333" max="3333" width="9.85546875" style="756" customWidth="1"/>
    <col min="3334" max="3334" width="9.7109375" style="756" customWidth="1"/>
    <col min="3335" max="3335" width="9.5703125" style="756" customWidth="1"/>
    <col min="3336" max="3336" width="9.85546875" style="756" customWidth="1"/>
    <col min="3337" max="3337" width="6.5703125" style="756" customWidth="1"/>
    <col min="3338" max="3338" width="6" style="756" bestFit="1" customWidth="1"/>
    <col min="3339" max="3339" width="6.28515625" style="756" customWidth="1"/>
    <col min="3340" max="3340" width="11.7109375" style="756" customWidth="1"/>
    <col min="3341" max="3341" width="0" style="756" hidden="1" customWidth="1"/>
    <col min="3342" max="3342" width="14.5703125" style="756" customWidth="1"/>
    <col min="3343" max="3343" width="11.85546875" style="756" customWidth="1"/>
    <col min="3344" max="3578" width="9.140625" style="756"/>
    <col min="3579" max="3579" width="2.85546875" style="756" customWidth="1"/>
    <col min="3580" max="3580" width="50.7109375" style="756" customWidth="1"/>
    <col min="3581" max="3581" width="9.42578125" style="756" customWidth="1"/>
    <col min="3582" max="3582" width="11.85546875" style="756" customWidth="1"/>
    <col min="3583" max="3583" width="8.42578125" style="756" bestFit="1" customWidth="1"/>
    <col min="3584" max="3586" width="0" style="756" hidden="1" customWidth="1"/>
    <col min="3587" max="3587" width="6" style="756" bestFit="1" customWidth="1"/>
    <col min="3588" max="3588" width="9.5703125" style="756" customWidth="1"/>
    <col min="3589" max="3589" width="9.85546875" style="756" customWidth="1"/>
    <col min="3590" max="3590" width="9.7109375" style="756" customWidth="1"/>
    <col min="3591" max="3591" width="9.5703125" style="756" customWidth="1"/>
    <col min="3592" max="3592" width="9.85546875" style="756" customWidth="1"/>
    <col min="3593" max="3593" width="6.5703125" style="756" customWidth="1"/>
    <col min="3594" max="3594" width="6" style="756" bestFit="1" customWidth="1"/>
    <col min="3595" max="3595" width="6.28515625" style="756" customWidth="1"/>
    <col min="3596" max="3596" width="11.7109375" style="756" customWidth="1"/>
    <col min="3597" max="3597" width="0" style="756" hidden="1" customWidth="1"/>
    <col min="3598" max="3598" width="14.5703125" style="756" customWidth="1"/>
    <col min="3599" max="3599" width="11.85546875" style="756" customWidth="1"/>
    <col min="3600" max="3834" width="9.140625" style="756"/>
    <col min="3835" max="3835" width="2.85546875" style="756" customWidth="1"/>
    <col min="3836" max="3836" width="50.7109375" style="756" customWidth="1"/>
    <col min="3837" max="3837" width="9.42578125" style="756" customWidth="1"/>
    <col min="3838" max="3838" width="11.85546875" style="756" customWidth="1"/>
    <col min="3839" max="3839" width="8.42578125" style="756" bestFit="1" customWidth="1"/>
    <col min="3840" max="3842" width="0" style="756" hidden="1" customWidth="1"/>
    <col min="3843" max="3843" width="6" style="756" bestFit="1" customWidth="1"/>
    <col min="3844" max="3844" width="9.5703125" style="756" customWidth="1"/>
    <col min="3845" max="3845" width="9.85546875" style="756" customWidth="1"/>
    <col min="3846" max="3846" width="9.7109375" style="756" customWidth="1"/>
    <col min="3847" max="3847" width="9.5703125" style="756" customWidth="1"/>
    <col min="3848" max="3848" width="9.85546875" style="756" customWidth="1"/>
    <col min="3849" max="3849" width="6.5703125" style="756" customWidth="1"/>
    <col min="3850" max="3850" width="6" style="756" bestFit="1" customWidth="1"/>
    <col min="3851" max="3851" width="6.28515625" style="756" customWidth="1"/>
    <col min="3852" max="3852" width="11.7109375" style="756" customWidth="1"/>
    <col min="3853" max="3853" width="0" style="756" hidden="1" customWidth="1"/>
    <col min="3854" max="3854" width="14.5703125" style="756" customWidth="1"/>
    <col min="3855" max="3855" width="11.85546875" style="756" customWidth="1"/>
    <col min="3856" max="4090" width="9.140625" style="756"/>
    <col min="4091" max="4091" width="2.85546875" style="756" customWidth="1"/>
    <col min="4092" max="4092" width="50.7109375" style="756" customWidth="1"/>
    <col min="4093" max="4093" width="9.42578125" style="756" customWidth="1"/>
    <col min="4094" max="4094" width="11.85546875" style="756" customWidth="1"/>
    <col min="4095" max="4095" width="8.42578125" style="756" bestFit="1" customWidth="1"/>
    <col min="4096" max="4098" width="0" style="756" hidden="1" customWidth="1"/>
    <col min="4099" max="4099" width="6" style="756" bestFit="1" customWidth="1"/>
    <col min="4100" max="4100" width="9.5703125" style="756" customWidth="1"/>
    <col min="4101" max="4101" width="9.85546875" style="756" customWidth="1"/>
    <col min="4102" max="4102" width="9.7109375" style="756" customWidth="1"/>
    <col min="4103" max="4103" width="9.5703125" style="756" customWidth="1"/>
    <col min="4104" max="4104" width="9.85546875" style="756" customWidth="1"/>
    <col min="4105" max="4105" width="6.5703125" style="756" customWidth="1"/>
    <col min="4106" max="4106" width="6" style="756" bestFit="1" customWidth="1"/>
    <col min="4107" max="4107" width="6.28515625" style="756" customWidth="1"/>
    <col min="4108" max="4108" width="11.7109375" style="756" customWidth="1"/>
    <col min="4109" max="4109" width="0" style="756" hidden="1" customWidth="1"/>
    <col min="4110" max="4110" width="14.5703125" style="756" customWidth="1"/>
    <col min="4111" max="4111" width="11.85546875" style="756" customWidth="1"/>
    <col min="4112" max="4346" width="9.140625" style="756"/>
    <col min="4347" max="4347" width="2.85546875" style="756" customWidth="1"/>
    <col min="4348" max="4348" width="50.7109375" style="756" customWidth="1"/>
    <col min="4349" max="4349" width="9.42578125" style="756" customWidth="1"/>
    <col min="4350" max="4350" width="11.85546875" style="756" customWidth="1"/>
    <col min="4351" max="4351" width="8.42578125" style="756" bestFit="1" customWidth="1"/>
    <col min="4352" max="4354" width="0" style="756" hidden="1" customWidth="1"/>
    <col min="4355" max="4355" width="6" style="756" bestFit="1" customWidth="1"/>
    <col min="4356" max="4356" width="9.5703125" style="756" customWidth="1"/>
    <col min="4357" max="4357" width="9.85546875" style="756" customWidth="1"/>
    <col min="4358" max="4358" width="9.7109375" style="756" customWidth="1"/>
    <col min="4359" max="4359" width="9.5703125" style="756" customWidth="1"/>
    <col min="4360" max="4360" width="9.85546875" style="756" customWidth="1"/>
    <col min="4361" max="4361" width="6.5703125" style="756" customWidth="1"/>
    <col min="4362" max="4362" width="6" style="756" bestFit="1" customWidth="1"/>
    <col min="4363" max="4363" width="6.28515625" style="756" customWidth="1"/>
    <col min="4364" max="4364" width="11.7109375" style="756" customWidth="1"/>
    <col min="4365" max="4365" width="0" style="756" hidden="1" customWidth="1"/>
    <col min="4366" max="4366" width="14.5703125" style="756" customWidth="1"/>
    <col min="4367" max="4367" width="11.85546875" style="756" customWidth="1"/>
    <col min="4368" max="4602" width="9.140625" style="756"/>
    <col min="4603" max="4603" width="2.85546875" style="756" customWidth="1"/>
    <col min="4604" max="4604" width="50.7109375" style="756" customWidth="1"/>
    <col min="4605" max="4605" width="9.42578125" style="756" customWidth="1"/>
    <col min="4606" max="4606" width="11.85546875" style="756" customWidth="1"/>
    <col min="4607" max="4607" width="8.42578125" style="756" bestFit="1" customWidth="1"/>
    <col min="4608" max="4610" width="0" style="756" hidden="1" customWidth="1"/>
    <col min="4611" max="4611" width="6" style="756" bestFit="1" customWidth="1"/>
    <col min="4612" max="4612" width="9.5703125" style="756" customWidth="1"/>
    <col min="4613" max="4613" width="9.85546875" style="756" customWidth="1"/>
    <col min="4614" max="4614" width="9.7109375" style="756" customWidth="1"/>
    <col min="4615" max="4615" width="9.5703125" style="756" customWidth="1"/>
    <col min="4616" max="4616" width="9.85546875" style="756" customWidth="1"/>
    <col min="4617" max="4617" width="6.5703125" style="756" customWidth="1"/>
    <col min="4618" max="4618" width="6" style="756" bestFit="1" customWidth="1"/>
    <col min="4619" max="4619" width="6.28515625" style="756" customWidth="1"/>
    <col min="4620" max="4620" width="11.7109375" style="756" customWidth="1"/>
    <col min="4621" max="4621" width="0" style="756" hidden="1" customWidth="1"/>
    <col min="4622" max="4622" width="14.5703125" style="756" customWidth="1"/>
    <col min="4623" max="4623" width="11.85546875" style="756" customWidth="1"/>
    <col min="4624" max="4858" width="9.140625" style="756"/>
    <col min="4859" max="4859" width="2.85546875" style="756" customWidth="1"/>
    <col min="4860" max="4860" width="50.7109375" style="756" customWidth="1"/>
    <col min="4861" max="4861" width="9.42578125" style="756" customWidth="1"/>
    <col min="4862" max="4862" width="11.85546875" style="756" customWidth="1"/>
    <col min="4863" max="4863" width="8.42578125" style="756" bestFit="1" customWidth="1"/>
    <col min="4864" max="4866" width="0" style="756" hidden="1" customWidth="1"/>
    <col min="4867" max="4867" width="6" style="756" bestFit="1" customWidth="1"/>
    <col min="4868" max="4868" width="9.5703125" style="756" customWidth="1"/>
    <col min="4869" max="4869" width="9.85546875" style="756" customWidth="1"/>
    <col min="4870" max="4870" width="9.7109375" style="756" customWidth="1"/>
    <col min="4871" max="4871" width="9.5703125" style="756" customWidth="1"/>
    <col min="4872" max="4872" width="9.85546875" style="756" customWidth="1"/>
    <col min="4873" max="4873" width="6.5703125" style="756" customWidth="1"/>
    <col min="4874" max="4874" width="6" style="756" bestFit="1" customWidth="1"/>
    <col min="4875" max="4875" width="6.28515625" style="756" customWidth="1"/>
    <col min="4876" max="4876" width="11.7109375" style="756" customWidth="1"/>
    <col min="4877" max="4877" width="0" style="756" hidden="1" customWidth="1"/>
    <col min="4878" max="4878" width="14.5703125" style="756" customWidth="1"/>
    <col min="4879" max="4879" width="11.85546875" style="756" customWidth="1"/>
    <col min="4880" max="5114" width="9.140625" style="756"/>
    <col min="5115" max="5115" width="2.85546875" style="756" customWidth="1"/>
    <col min="5116" max="5116" width="50.7109375" style="756" customWidth="1"/>
    <col min="5117" max="5117" width="9.42578125" style="756" customWidth="1"/>
    <col min="5118" max="5118" width="11.85546875" style="756" customWidth="1"/>
    <col min="5119" max="5119" width="8.42578125" style="756" bestFit="1" customWidth="1"/>
    <col min="5120" max="5122" width="0" style="756" hidden="1" customWidth="1"/>
    <col min="5123" max="5123" width="6" style="756" bestFit="1" customWidth="1"/>
    <col min="5124" max="5124" width="9.5703125" style="756" customWidth="1"/>
    <col min="5125" max="5125" width="9.85546875" style="756" customWidth="1"/>
    <col min="5126" max="5126" width="9.7109375" style="756" customWidth="1"/>
    <col min="5127" max="5127" width="9.5703125" style="756" customWidth="1"/>
    <col min="5128" max="5128" width="9.85546875" style="756" customWidth="1"/>
    <col min="5129" max="5129" width="6.5703125" style="756" customWidth="1"/>
    <col min="5130" max="5130" width="6" style="756" bestFit="1" customWidth="1"/>
    <col min="5131" max="5131" width="6.28515625" style="756" customWidth="1"/>
    <col min="5132" max="5132" width="11.7109375" style="756" customWidth="1"/>
    <col min="5133" max="5133" width="0" style="756" hidden="1" customWidth="1"/>
    <col min="5134" max="5134" width="14.5703125" style="756" customWidth="1"/>
    <col min="5135" max="5135" width="11.85546875" style="756" customWidth="1"/>
    <col min="5136" max="5370" width="9.140625" style="756"/>
    <col min="5371" max="5371" width="2.85546875" style="756" customWidth="1"/>
    <col min="5372" max="5372" width="50.7109375" style="756" customWidth="1"/>
    <col min="5373" max="5373" width="9.42578125" style="756" customWidth="1"/>
    <col min="5374" max="5374" width="11.85546875" style="756" customWidth="1"/>
    <col min="5375" max="5375" width="8.42578125" style="756" bestFit="1" customWidth="1"/>
    <col min="5376" max="5378" width="0" style="756" hidden="1" customWidth="1"/>
    <col min="5379" max="5379" width="6" style="756" bestFit="1" customWidth="1"/>
    <col min="5380" max="5380" width="9.5703125" style="756" customWidth="1"/>
    <col min="5381" max="5381" width="9.85546875" style="756" customWidth="1"/>
    <col min="5382" max="5382" width="9.7109375" style="756" customWidth="1"/>
    <col min="5383" max="5383" width="9.5703125" style="756" customWidth="1"/>
    <col min="5384" max="5384" width="9.85546875" style="756" customWidth="1"/>
    <col min="5385" max="5385" width="6.5703125" style="756" customWidth="1"/>
    <col min="5386" max="5386" width="6" style="756" bestFit="1" customWidth="1"/>
    <col min="5387" max="5387" width="6.28515625" style="756" customWidth="1"/>
    <col min="5388" max="5388" width="11.7109375" style="756" customWidth="1"/>
    <col min="5389" max="5389" width="0" style="756" hidden="1" customWidth="1"/>
    <col min="5390" max="5390" width="14.5703125" style="756" customWidth="1"/>
    <col min="5391" max="5391" width="11.85546875" style="756" customWidth="1"/>
    <col min="5392" max="5626" width="9.140625" style="756"/>
    <col min="5627" max="5627" width="2.85546875" style="756" customWidth="1"/>
    <col min="5628" max="5628" width="50.7109375" style="756" customWidth="1"/>
    <col min="5629" max="5629" width="9.42578125" style="756" customWidth="1"/>
    <col min="5630" max="5630" width="11.85546875" style="756" customWidth="1"/>
    <col min="5631" max="5631" width="8.42578125" style="756" bestFit="1" customWidth="1"/>
    <col min="5632" max="5634" width="0" style="756" hidden="1" customWidth="1"/>
    <col min="5635" max="5635" width="6" style="756" bestFit="1" customWidth="1"/>
    <col min="5636" max="5636" width="9.5703125" style="756" customWidth="1"/>
    <col min="5637" max="5637" width="9.85546875" style="756" customWidth="1"/>
    <col min="5638" max="5638" width="9.7109375" style="756" customWidth="1"/>
    <col min="5639" max="5639" width="9.5703125" style="756" customWidth="1"/>
    <col min="5640" max="5640" width="9.85546875" style="756" customWidth="1"/>
    <col min="5641" max="5641" width="6.5703125" style="756" customWidth="1"/>
    <col min="5642" max="5642" width="6" style="756" bestFit="1" customWidth="1"/>
    <col min="5643" max="5643" width="6.28515625" style="756" customWidth="1"/>
    <col min="5644" max="5644" width="11.7109375" style="756" customWidth="1"/>
    <col min="5645" max="5645" width="0" style="756" hidden="1" customWidth="1"/>
    <col min="5646" max="5646" width="14.5703125" style="756" customWidth="1"/>
    <col min="5647" max="5647" width="11.85546875" style="756" customWidth="1"/>
    <col min="5648" max="5882" width="9.140625" style="756"/>
    <col min="5883" max="5883" width="2.85546875" style="756" customWidth="1"/>
    <col min="5884" max="5884" width="50.7109375" style="756" customWidth="1"/>
    <col min="5885" max="5885" width="9.42578125" style="756" customWidth="1"/>
    <col min="5886" max="5886" width="11.85546875" style="756" customWidth="1"/>
    <col min="5887" max="5887" width="8.42578125" style="756" bestFit="1" customWidth="1"/>
    <col min="5888" max="5890" width="0" style="756" hidden="1" customWidth="1"/>
    <col min="5891" max="5891" width="6" style="756" bestFit="1" customWidth="1"/>
    <col min="5892" max="5892" width="9.5703125" style="756" customWidth="1"/>
    <col min="5893" max="5893" width="9.85546875" style="756" customWidth="1"/>
    <col min="5894" max="5894" width="9.7109375" style="756" customWidth="1"/>
    <col min="5895" max="5895" width="9.5703125" style="756" customWidth="1"/>
    <col min="5896" max="5896" width="9.85546875" style="756" customWidth="1"/>
    <col min="5897" max="5897" width="6.5703125" style="756" customWidth="1"/>
    <col min="5898" max="5898" width="6" style="756" bestFit="1" customWidth="1"/>
    <col min="5899" max="5899" width="6.28515625" style="756" customWidth="1"/>
    <col min="5900" max="5900" width="11.7109375" style="756" customWidth="1"/>
    <col min="5901" max="5901" width="0" style="756" hidden="1" customWidth="1"/>
    <col min="5902" max="5902" width="14.5703125" style="756" customWidth="1"/>
    <col min="5903" max="5903" width="11.85546875" style="756" customWidth="1"/>
    <col min="5904" max="6138" width="9.140625" style="756"/>
    <col min="6139" max="6139" width="2.85546875" style="756" customWidth="1"/>
    <col min="6140" max="6140" width="50.7109375" style="756" customWidth="1"/>
    <col min="6141" max="6141" width="9.42578125" style="756" customWidth="1"/>
    <col min="6142" max="6142" width="11.85546875" style="756" customWidth="1"/>
    <col min="6143" max="6143" width="8.42578125" style="756" bestFit="1" customWidth="1"/>
    <col min="6144" max="6146" width="0" style="756" hidden="1" customWidth="1"/>
    <col min="6147" max="6147" width="6" style="756" bestFit="1" customWidth="1"/>
    <col min="6148" max="6148" width="9.5703125" style="756" customWidth="1"/>
    <col min="6149" max="6149" width="9.85546875" style="756" customWidth="1"/>
    <col min="6150" max="6150" width="9.7109375" style="756" customWidth="1"/>
    <col min="6151" max="6151" width="9.5703125" style="756" customWidth="1"/>
    <col min="6152" max="6152" width="9.85546875" style="756" customWidth="1"/>
    <col min="6153" max="6153" width="6.5703125" style="756" customWidth="1"/>
    <col min="6154" max="6154" width="6" style="756" bestFit="1" customWidth="1"/>
    <col min="6155" max="6155" width="6.28515625" style="756" customWidth="1"/>
    <col min="6156" max="6156" width="11.7109375" style="756" customWidth="1"/>
    <col min="6157" max="6157" width="0" style="756" hidden="1" customWidth="1"/>
    <col min="6158" max="6158" width="14.5703125" style="756" customWidth="1"/>
    <col min="6159" max="6159" width="11.85546875" style="756" customWidth="1"/>
    <col min="6160" max="6394" width="9.140625" style="756"/>
    <col min="6395" max="6395" width="2.85546875" style="756" customWidth="1"/>
    <col min="6396" max="6396" width="50.7109375" style="756" customWidth="1"/>
    <col min="6397" max="6397" width="9.42578125" style="756" customWidth="1"/>
    <col min="6398" max="6398" width="11.85546875" style="756" customWidth="1"/>
    <col min="6399" max="6399" width="8.42578125" style="756" bestFit="1" customWidth="1"/>
    <col min="6400" max="6402" width="0" style="756" hidden="1" customWidth="1"/>
    <col min="6403" max="6403" width="6" style="756" bestFit="1" customWidth="1"/>
    <col min="6404" max="6404" width="9.5703125" style="756" customWidth="1"/>
    <col min="6405" max="6405" width="9.85546875" style="756" customWidth="1"/>
    <col min="6406" max="6406" width="9.7109375" style="756" customWidth="1"/>
    <col min="6407" max="6407" width="9.5703125" style="756" customWidth="1"/>
    <col min="6408" max="6408" width="9.85546875" style="756" customWidth="1"/>
    <col min="6409" max="6409" width="6.5703125" style="756" customWidth="1"/>
    <col min="6410" max="6410" width="6" style="756" bestFit="1" customWidth="1"/>
    <col min="6411" max="6411" width="6.28515625" style="756" customWidth="1"/>
    <col min="6412" max="6412" width="11.7109375" style="756" customWidth="1"/>
    <col min="6413" max="6413" width="0" style="756" hidden="1" customWidth="1"/>
    <col min="6414" max="6414" width="14.5703125" style="756" customWidth="1"/>
    <col min="6415" max="6415" width="11.85546875" style="756" customWidth="1"/>
    <col min="6416" max="6650" width="9.140625" style="756"/>
    <col min="6651" max="6651" width="2.85546875" style="756" customWidth="1"/>
    <col min="6652" max="6652" width="50.7109375" style="756" customWidth="1"/>
    <col min="6653" max="6653" width="9.42578125" style="756" customWidth="1"/>
    <col min="6654" max="6654" width="11.85546875" style="756" customWidth="1"/>
    <col min="6655" max="6655" width="8.42578125" style="756" bestFit="1" customWidth="1"/>
    <col min="6656" max="6658" width="0" style="756" hidden="1" customWidth="1"/>
    <col min="6659" max="6659" width="6" style="756" bestFit="1" customWidth="1"/>
    <col min="6660" max="6660" width="9.5703125" style="756" customWidth="1"/>
    <col min="6661" max="6661" width="9.85546875" style="756" customWidth="1"/>
    <col min="6662" max="6662" width="9.7109375" style="756" customWidth="1"/>
    <col min="6663" max="6663" width="9.5703125" style="756" customWidth="1"/>
    <col min="6664" max="6664" width="9.85546875" style="756" customWidth="1"/>
    <col min="6665" max="6665" width="6.5703125" style="756" customWidth="1"/>
    <col min="6666" max="6666" width="6" style="756" bestFit="1" customWidth="1"/>
    <col min="6667" max="6667" width="6.28515625" style="756" customWidth="1"/>
    <col min="6668" max="6668" width="11.7109375" style="756" customWidth="1"/>
    <col min="6669" max="6669" width="0" style="756" hidden="1" customWidth="1"/>
    <col min="6670" max="6670" width="14.5703125" style="756" customWidth="1"/>
    <col min="6671" max="6671" width="11.85546875" style="756" customWidth="1"/>
    <col min="6672" max="6906" width="9.140625" style="756"/>
    <col min="6907" max="6907" width="2.85546875" style="756" customWidth="1"/>
    <col min="6908" max="6908" width="50.7109375" style="756" customWidth="1"/>
    <col min="6909" max="6909" width="9.42578125" style="756" customWidth="1"/>
    <col min="6910" max="6910" width="11.85546875" style="756" customWidth="1"/>
    <col min="6911" max="6911" width="8.42578125" style="756" bestFit="1" customWidth="1"/>
    <col min="6912" max="6914" width="0" style="756" hidden="1" customWidth="1"/>
    <col min="6915" max="6915" width="6" style="756" bestFit="1" customWidth="1"/>
    <col min="6916" max="6916" width="9.5703125" style="756" customWidth="1"/>
    <col min="6917" max="6917" width="9.85546875" style="756" customWidth="1"/>
    <col min="6918" max="6918" width="9.7109375" style="756" customWidth="1"/>
    <col min="6919" max="6919" width="9.5703125" style="756" customWidth="1"/>
    <col min="6920" max="6920" width="9.85546875" style="756" customWidth="1"/>
    <col min="6921" max="6921" width="6.5703125" style="756" customWidth="1"/>
    <col min="6922" max="6922" width="6" style="756" bestFit="1" customWidth="1"/>
    <col min="6923" max="6923" width="6.28515625" style="756" customWidth="1"/>
    <col min="6924" max="6924" width="11.7109375" style="756" customWidth="1"/>
    <col min="6925" max="6925" width="0" style="756" hidden="1" customWidth="1"/>
    <col min="6926" max="6926" width="14.5703125" style="756" customWidth="1"/>
    <col min="6927" max="6927" width="11.85546875" style="756" customWidth="1"/>
    <col min="6928" max="7162" width="9.140625" style="756"/>
    <col min="7163" max="7163" width="2.85546875" style="756" customWidth="1"/>
    <col min="7164" max="7164" width="50.7109375" style="756" customWidth="1"/>
    <col min="7165" max="7165" width="9.42578125" style="756" customWidth="1"/>
    <col min="7166" max="7166" width="11.85546875" style="756" customWidth="1"/>
    <col min="7167" max="7167" width="8.42578125" style="756" bestFit="1" customWidth="1"/>
    <col min="7168" max="7170" width="0" style="756" hidden="1" customWidth="1"/>
    <col min="7171" max="7171" width="6" style="756" bestFit="1" customWidth="1"/>
    <col min="7172" max="7172" width="9.5703125" style="756" customWidth="1"/>
    <col min="7173" max="7173" width="9.85546875" style="756" customWidth="1"/>
    <col min="7174" max="7174" width="9.7109375" style="756" customWidth="1"/>
    <col min="7175" max="7175" width="9.5703125" style="756" customWidth="1"/>
    <col min="7176" max="7176" width="9.85546875" style="756" customWidth="1"/>
    <col min="7177" max="7177" width="6.5703125" style="756" customWidth="1"/>
    <col min="7178" max="7178" width="6" style="756" bestFit="1" customWidth="1"/>
    <col min="7179" max="7179" width="6.28515625" style="756" customWidth="1"/>
    <col min="7180" max="7180" width="11.7109375" style="756" customWidth="1"/>
    <col min="7181" max="7181" width="0" style="756" hidden="1" customWidth="1"/>
    <col min="7182" max="7182" width="14.5703125" style="756" customWidth="1"/>
    <col min="7183" max="7183" width="11.85546875" style="756" customWidth="1"/>
    <col min="7184" max="7418" width="9.140625" style="756"/>
    <col min="7419" max="7419" width="2.85546875" style="756" customWidth="1"/>
    <col min="7420" max="7420" width="50.7109375" style="756" customWidth="1"/>
    <col min="7421" max="7421" width="9.42578125" style="756" customWidth="1"/>
    <col min="7422" max="7422" width="11.85546875" style="756" customWidth="1"/>
    <col min="7423" max="7423" width="8.42578125" style="756" bestFit="1" customWidth="1"/>
    <col min="7424" max="7426" width="0" style="756" hidden="1" customWidth="1"/>
    <col min="7427" max="7427" width="6" style="756" bestFit="1" customWidth="1"/>
    <col min="7428" max="7428" width="9.5703125" style="756" customWidth="1"/>
    <col min="7429" max="7429" width="9.85546875" style="756" customWidth="1"/>
    <col min="7430" max="7430" width="9.7109375" style="756" customWidth="1"/>
    <col min="7431" max="7431" width="9.5703125" style="756" customWidth="1"/>
    <col min="7432" max="7432" width="9.85546875" style="756" customWidth="1"/>
    <col min="7433" max="7433" width="6.5703125" style="756" customWidth="1"/>
    <col min="7434" max="7434" width="6" style="756" bestFit="1" customWidth="1"/>
    <col min="7435" max="7435" width="6.28515625" style="756" customWidth="1"/>
    <col min="7436" max="7436" width="11.7109375" style="756" customWidth="1"/>
    <col min="7437" max="7437" width="0" style="756" hidden="1" customWidth="1"/>
    <col min="7438" max="7438" width="14.5703125" style="756" customWidth="1"/>
    <col min="7439" max="7439" width="11.85546875" style="756" customWidth="1"/>
    <col min="7440" max="7674" width="9.140625" style="756"/>
    <col min="7675" max="7675" width="2.85546875" style="756" customWidth="1"/>
    <col min="7676" max="7676" width="50.7109375" style="756" customWidth="1"/>
    <col min="7677" max="7677" width="9.42578125" style="756" customWidth="1"/>
    <col min="7678" max="7678" width="11.85546875" style="756" customWidth="1"/>
    <col min="7679" max="7679" width="8.42578125" style="756" bestFit="1" customWidth="1"/>
    <col min="7680" max="7682" width="0" style="756" hidden="1" customWidth="1"/>
    <col min="7683" max="7683" width="6" style="756" bestFit="1" customWidth="1"/>
    <col min="7684" max="7684" width="9.5703125" style="756" customWidth="1"/>
    <col min="7685" max="7685" width="9.85546875" style="756" customWidth="1"/>
    <col min="7686" max="7686" width="9.7109375" style="756" customWidth="1"/>
    <col min="7687" max="7687" width="9.5703125" style="756" customWidth="1"/>
    <col min="7688" max="7688" width="9.85546875" style="756" customWidth="1"/>
    <col min="7689" max="7689" width="6.5703125" style="756" customWidth="1"/>
    <col min="7690" max="7690" width="6" style="756" bestFit="1" customWidth="1"/>
    <col min="7691" max="7691" width="6.28515625" style="756" customWidth="1"/>
    <col min="7692" max="7692" width="11.7109375" style="756" customWidth="1"/>
    <col min="7693" max="7693" width="0" style="756" hidden="1" customWidth="1"/>
    <col min="7694" max="7694" width="14.5703125" style="756" customWidth="1"/>
    <col min="7695" max="7695" width="11.85546875" style="756" customWidth="1"/>
    <col min="7696" max="7930" width="9.140625" style="756"/>
    <col min="7931" max="7931" width="2.85546875" style="756" customWidth="1"/>
    <col min="7932" max="7932" width="50.7109375" style="756" customWidth="1"/>
    <col min="7933" max="7933" width="9.42578125" style="756" customWidth="1"/>
    <col min="7934" max="7934" width="11.85546875" style="756" customWidth="1"/>
    <col min="7935" max="7935" width="8.42578125" style="756" bestFit="1" customWidth="1"/>
    <col min="7936" max="7938" width="0" style="756" hidden="1" customWidth="1"/>
    <col min="7939" max="7939" width="6" style="756" bestFit="1" customWidth="1"/>
    <col min="7940" max="7940" width="9.5703125" style="756" customWidth="1"/>
    <col min="7941" max="7941" width="9.85546875" style="756" customWidth="1"/>
    <col min="7942" max="7942" width="9.7109375" style="756" customWidth="1"/>
    <col min="7943" max="7943" width="9.5703125" style="756" customWidth="1"/>
    <col min="7944" max="7944" width="9.85546875" style="756" customWidth="1"/>
    <col min="7945" max="7945" width="6.5703125" style="756" customWidth="1"/>
    <col min="7946" max="7946" width="6" style="756" bestFit="1" customWidth="1"/>
    <col min="7947" max="7947" width="6.28515625" style="756" customWidth="1"/>
    <col min="7948" max="7948" width="11.7109375" style="756" customWidth="1"/>
    <col min="7949" max="7949" width="0" style="756" hidden="1" customWidth="1"/>
    <col min="7950" max="7950" width="14.5703125" style="756" customWidth="1"/>
    <col min="7951" max="7951" width="11.85546875" style="756" customWidth="1"/>
    <col min="7952" max="8186" width="9.140625" style="756"/>
    <col min="8187" max="8187" width="2.85546875" style="756" customWidth="1"/>
    <col min="8188" max="8188" width="50.7109375" style="756" customWidth="1"/>
    <col min="8189" max="8189" width="9.42578125" style="756" customWidth="1"/>
    <col min="8190" max="8190" width="11.85546875" style="756" customWidth="1"/>
    <col min="8191" max="8191" width="8.42578125" style="756" bestFit="1" customWidth="1"/>
    <col min="8192" max="8194" width="0" style="756" hidden="1" customWidth="1"/>
    <col min="8195" max="8195" width="6" style="756" bestFit="1" customWidth="1"/>
    <col min="8196" max="8196" width="9.5703125" style="756" customWidth="1"/>
    <col min="8197" max="8197" width="9.85546875" style="756" customWidth="1"/>
    <col min="8198" max="8198" width="9.7109375" style="756" customWidth="1"/>
    <col min="8199" max="8199" width="9.5703125" style="756" customWidth="1"/>
    <col min="8200" max="8200" width="9.85546875" style="756" customWidth="1"/>
    <col min="8201" max="8201" width="6.5703125" style="756" customWidth="1"/>
    <col min="8202" max="8202" width="6" style="756" bestFit="1" customWidth="1"/>
    <col min="8203" max="8203" width="6.28515625" style="756" customWidth="1"/>
    <col min="8204" max="8204" width="11.7109375" style="756" customWidth="1"/>
    <col min="8205" max="8205" width="0" style="756" hidden="1" customWidth="1"/>
    <col min="8206" max="8206" width="14.5703125" style="756" customWidth="1"/>
    <col min="8207" max="8207" width="11.85546875" style="756" customWidth="1"/>
    <col min="8208" max="8442" width="9.140625" style="756"/>
    <col min="8443" max="8443" width="2.85546875" style="756" customWidth="1"/>
    <col min="8444" max="8444" width="50.7109375" style="756" customWidth="1"/>
    <col min="8445" max="8445" width="9.42578125" style="756" customWidth="1"/>
    <col min="8446" max="8446" width="11.85546875" style="756" customWidth="1"/>
    <col min="8447" max="8447" width="8.42578125" style="756" bestFit="1" customWidth="1"/>
    <col min="8448" max="8450" width="0" style="756" hidden="1" customWidth="1"/>
    <col min="8451" max="8451" width="6" style="756" bestFit="1" customWidth="1"/>
    <col min="8452" max="8452" width="9.5703125" style="756" customWidth="1"/>
    <col min="8453" max="8453" width="9.85546875" style="756" customWidth="1"/>
    <col min="8454" max="8454" width="9.7109375" style="756" customWidth="1"/>
    <col min="8455" max="8455" width="9.5703125" style="756" customWidth="1"/>
    <col min="8456" max="8456" width="9.85546875" style="756" customWidth="1"/>
    <col min="8457" max="8457" width="6.5703125" style="756" customWidth="1"/>
    <col min="8458" max="8458" width="6" style="756" bestFit="1" customWidth="1"/>
    <col min="8459" max="8459" width="6.28515625" style="756" customWidth="1"/>
    <col min="8460" max="8460" width="11.7109375" style="756" customWidth="1"/>
    <col min="8461" max="8461" width="0" style="756" hidden="1" customWidth="1"/>
    <col min="8462" max="8462" width="14.5703125" style="756" customWidth="1"/>
    <col min="8463" max="8463" width="11.85546875" style="756" customWidth="1"/>
    <col min="8464" max="8698" width="9.140625" style="756"/>
    <col min="8699" max="8699" width="2.85546875" style="756" customWidth="1"/>
    <col min="8700" max="8700" width="50.7109375" style="756" customWidth="1"/>
    <col min="8701" max="8701" width="9.42578125" style="756" customWidth="1"/>
    <col min="8702" max="8702" width="11.85546875" style="756" customWidth="1"/>
    <col min="8703" max="8703" width="8.42578125" style="756" bestFit="1" customWidth="1"/>
    <col min="8704" max="8706" width="0" style="756" hidden="1" customWidth="1"/>
    <col min="8707" max="8707" width="6" style="756" bestFit="1" customWidth="1"/>
    <col min="8708" max="8708" width="9.5703125" style="756" customWidth="1"/>
    <col min="8709" max="8709" width="9.85546875" style="756" customWidth="1"/>
    <col min="8710" max="8710" width="9.7109375" style="756" customWidth="1"/>
    <col min="8711" max="8711" width="9.5703125" style="756" customWidth="1"/>
    <col min="8712" max="8712" width="9.85546875" style="756" customWidth="1"/>
    <col min="8713" max="8713" width="6.5703125" style="756" customWidth="1"/>
    <col min="8714" max="8714" width="6" style="756" bestFit="1" customWidth="1"/>
    <col min="8715" max="8715" width="6.28515625" style="756" customWidth="1"/>
    <col min="8716" max="8716" width="11.7109375" style="756" customWidth="1"/>
    <col min="8717" max="8717" width="0" style="756" hidden="1" customWidth="1"/>
    <col min="8718" max="8718" width="14.5703125" style="756" customWidth="1"/>
    <col min="8719" max="8719" width="11.85546875" style="756" customWidth="1"/>
    <col min="8720" max="8954" width="9.140625" style="756"/>
    <col min="8955" max="8955" width="2.85546875" style="756" customWidth="1"/>
    <col min="8956" max="8956" width="50.7109375" style="756" customWidth="1"/>
    <col min="8957" max="8957" width="9.42578125" style="756" customWidth="1"/>
    <col min="8958" max="8958" width="11.85546875" style="756" customWidth="1"/>
    <col min="8959" max="8959" width="8.42578125" style="756" bestFit="1" customWidth="1"/>
    <col min="8960" max="8962" width="0" style="756" hidden="1" customWidth="1"/>
    <col min="8963" max="8963" width="6" style="756" bestFit="1" customWidth="1"/>
    <col min="8964" max="8964" width="9.5703125" style="756" customWidth="1"/>
    <col min="8965" max="8965" width="9.85546875" style="756" customWidth="1"/>
    <col min="8966" max="8966" width="9.7109375" style="756" customWidth="1"/>
    <col min="8967" max="8967" width="9.5703125" style="756" customWidth="1"/>
    <col min="8968" max="8968" width="9.85546875" style="756" customWidth="1"/>
    <col min="8969" max="8969" width="6.5703125" style="756" customWidth="1"/>
    <col min="8970" max="8970" width="6" style="756" bestFit="1" customWidth="1"/>
    <col min="8971" max="8971" width="6.28515625" style="756" customWidth="1"/>
    <col min="8972" max="8972" width="11.7109375" style="756" customWidth="1"/>
    <col min="8973" max="8973" width="0" style="756" hidden="1" customWidth="1"/>
    <col min="8974" max="8974" width="14.5703125" style="756" customWidth="1"/>
    <col min="8975" max="8975" width="11.85546875" style="756" customWidth="1"/>
    <col min="8976" max="9210" width="9.140625" style="756"/>
    <col min="9211" max="9211" width="2.85546875" style="756" customWidth="1"/>
    <col min="9212" max="9212" width="50.7109375" style="756" customWidth="1"/>
    <col min="9213" max="9213" width="9.42578125" style="756" customWidth="1"/>
    <col min="9214" max="9214" width="11.85546875" style="756" customWidth="1"/>
    <col min="9215" max="9215" width="8.42578125" style="756" bestFit="1" customWidth="1"/>
    <col min="9216" max="9218" width="0" style="756" hidden="1" customWidth="1"/>
    <col min="9219" max="9219" width="6" style="756" bestFit="1" customWidth="1"/>
    <col min="9220" max="9220" width="9.5703125" style="756" customWidth="1"/>
    <col min="9221" max="9221" width="9.85546875" style="756" customWidth="1"/>
    <col min="9222" max="9222" width="9.7109375" style="756" customWidth="1"/>
    <col min="9223" max="9223" width="9.5703125" style="756" customWidth="1"/>
    <col min="9224" max="9224" width="9.85546875" style="756" customWidth="1"/>
    <col min="9225" max="9225" width="6.5703125" style="756" customWidth="1"/>
    <col min="9226" max="9226" width="6" style="756" bestFit="1" customWidth="1"/>
    <col min="9227" max="9227" width="6.28515625" style="756" customWidth="1"/>
    <col min="9228" max="9228" width="11.7109375" style="756" customWidth="1"/>
    <col min="9229" max="9229" width="0" style="756" hidden="1" customWidth="1"/>
    <col min="9230" max="9230" width="14.5703125" style="756" customWidth="1"/>
    <col min="9231" max="9231" width="11.85546875" style="756" customWidth="1"/>
    <col min="9232" max="9466" width="9.140625" style="756"/>
    <col min="9467" max="9467" width="2.85546875" style="756" customWidth="1"/>
    <col min="9468" max="9468" width="50.7109375" style="756" customWidth="1"/>
    <col min="9469" max="9469" width="9.42578125" style="756" customWidth="1"/>
    <col min="9470" max="9470" width="11.85546875" style="756" customWidth="1"/>
    <col min="9471" max="9471" width="8.42578125" style="756" bestFit="1" customWidth="1"/>
    <col min="9472" max="9474" width="0" style="756" hidden="1" customWidth="1"/>
    <col min="9475" max="9475" width="6" style="756" bestFit="1" customWidth="1"/>
    <col min="9476" max="9476" width="9.5703125" style="756" customWidth="1"/>
    <col min="9477" max="9477" width="9.85546875" style="756" customWidth="1"/>
    <col min="9478" max="9478" width="9.7109375" style="756" customWidth="1"/>
    <col min="9479" max="9479" width="9.5703125" style="756" customWidth="1"/>
    <col min="9480" max="9480" width="9.85546875" style="756" customWidth="1"/>
    <col min="9481" max="9481" width="6.5703125" style="756" customWidth="1"/>
    <col min="9482" max="9482" width="6" style="756" bestFit="1" customWidth="1"/>
    <col min="9483" max="9483" width="6.28515625" style="756" customWidth="1"/>
    <col min="9484" max="9484" width="11.7109375" style="756" customWidth="1"/>
    <col min="9485" max="9485" width="0" style="756" hidden="1" customWidth="1"/>
    <col min="9486" max="9486" width="14.5703125" style="756" customWidth="1"/>
    <col min="9487" max="9487" width="11.85546875" style="756" customWidth="1"/>
    <col min="9488" max="9722" width="9.140625" style="756"/>
    <col min="9723" max="9723" width="2.85546875" style="756" customWidth="1"/>
    <col min="9724" max="9724" width="50.7109375" style="756" customWidth="1"/>
    <col min="9725" max="9725" width="9.42578125" style="756" customWidth="1"/>
    <col min="9726" max="9726" width="11.85546875" style="756" customWidth="1"/>
    <col min="9727" max="9727" width="8.42578125" style="756" bestFit="1" customWidth="1"/>
    <col min="9728" max="9730" width="0" style="756" hidden="1" customWidth="1"/>
    <col min="9731" max="9731" width="6" style="756" bestFit="1" customWidth="1"/>
    <col min="9732" max="9732" width="9.5703125" style="756" customWidth="1"/>
    <col min="9733" max="9733" width="9.85546875" style="756" customWidth="1"/>
    <col min="9734" max="9734" width="9.7109375" style="756" customWidth="1"/>
    <col min="9735" max="9735" width="9.5703125" style="756" customWidth="1"/>
    <col min="9736" max="9736" width="9.85546875" style="756" customWidth="1"/>
    <col min="9737" max="9737" width="6.5703125" style="756" customWidth="1"/>
    <col min="9738" max="9738" width="6" style="756" bestFit="1" customWidth="1"/>
    <col min="9739" max="9739" width="6.28515625" style="756" customWidth="1"/>
    <col min="9740" max="9740" width="11.7109375" style="756" customWidth="1"/>
    <col min="9741" max="9741" width="0" style="756" hidden="1" customWidth="1"/>
    <col min="9742" max="9742" width="14.5703125" style="756" customWidth="1"/>
    <col min="9743" max="9743" width="11.85546875" style="756" customWidth="1"/>
    <col min="9744" max="9978" width="9.140625" style="756"/>
    <col min="9979" max="9979" width="2.85546875" style="756" customWidth="1"/>
    <col min="9980" max="9980" width="50.7109375" style="756" customWidth="1"/>
    <col min="9981" max="9981" width="9.42578125" style="756" customWidth="1"/>
    <col min="9982" max="9982" width="11.85546875" style="756" customWidth="1"/>
    <col min="9983" max="9983" width="8.42578125" style="756" bestFit="1" customWidth="1"/>
    <col min="9984" max="9986" width="0" style="756" hidden="1" customWidth="1"/>
    <col min="9987" max="9987" width="6" style="756" bestFit="1" customWidth="1"/>
    <col min="9988" max="9988" width="9.5703125" style="756" customWidth="1"/>
    <col min="9989" max="9989" width="9.85546875" style="756" customWidth="1"/>
    <col min="9990" max="9990" width="9.7109375" style="756" customWidth="1"/>
    <col min="9991" max="9991" width="9.5703125" style="756" customWidth="1"/>
    <col min="9992" max="9992" width="9.85546875" style="756" customWidth="1"/>
    <col min="9993" max="9993" width="6.5703125" style="756" customWidth="1"/>
    <col min="9994" max="9994" width="6" style="756" bestFit="1" customWidth="1"/>
    <col min="9995" max="9995" width="6.28515625" style="756" customWidth="1"/>
    <col min="9996" max="9996" width="11.7109375" style="756" customWidth="1"/>
    <col min="9997" max="9997" width="0" style="756" hidden="1" customWidth="1"/>
    <col min="9998" max="9998" width="14.5703125" style="756" customWidth="1"/>
    <col min="9999" max="9999" width="11.85546875" style="756" customWidth="1"/>
    <col min="10000" max="10234" width="9.140625" style="756"/>
    <col min="10235" max="10235" width="2.85546875" style="756" customWidth="1"/>
    <col min="10236" max="10236" width="50.7109375" style="756" customWidth="1"/>
    <col min="10237" max="10237" width="9.42578125" style="756" customWidth="1"/>
    <col min="10238" max="10238" width="11.85546875" style="756" customWidth="1"/>
    <col min="10239" max="10239" width="8.42578125" style="756" bestFit="1" customWidth="1"/>
    <col min="10240" max="10242" width="0" style="756" hidden="1" customWidth="1"/>
    <col min="10243" max="10243" width="6" style="756" bestFit="1" customWidth="1"/>
    <col min="10244" max="10244" width="9.5703125" style="756" customWidth="1"/>
    <col min="10245" max="10245" width="9.85546875" style="756" customWidth="1"/>
    <col min="10246" max="10246" width="9.7109375" style="756" customWidth="1"/>
    <col min="10247" max="10247" width="9.5703125" style="756" customWidth="1"/>
    <col min="10248" max="10248" width="9.85546875" style="756" customWidth="1"/>
    <col min="10249" max="10249" width="6.5703125" style="756" customWidth="1"/>
    <col min="10250" max="10250" width="6" style="756" bestFit="1" customWidth="1"/>
    <col min="10251" max="10251" width="6.28515625" style="756" customWidth="1"/>
    <col min="10252" max="10252" width="11.7109375" style="756" customWidth="1"/>
    <col min="10253" max="10253" width="0" style="756" hidden="1" customWidth="1"/>
    <col min="10254" max="10254" width="14.5703125" style="756" customWidth="1"/>
    <col min="10255" max="10255" width="11.85546875" style="756" customWidth="1"/>
    <col min="10256" max="10490" width="9.140625" style="756"/>
    <col min="10491" max="10491" width="2.85546875" style="756" customWidth="1"/>
    <col min="10492" max="10492" width="50.7109375" style="756" customWidth="1"/>
    <col min="10493" max="10493" width="9.42578125" style="756" customWidth="1"/>
    <col min="10494" max="10494" width="11.85546875" style="756" customWidth="1"/>
    <col min="10495" max="10495" width="8.42578125" style="756" bestFit="1" customWidth="1"/>
    <col min="10496" max="10498" width="0" style="756" hidden="1" customWidth="1"/>
    <col min="10499" max="10499" width="6" style="756" bestFit="1" customWidth="1"/>
    <col min="10500" max="10500" width="9.5703125" style="756" customWidth="1"/>
    <col min="10501" max="10501" width="9.85546875" style="756" customWidth="1"/>
    <col min="10502" max="10502" width="9.7109375" style="756" customWidth="1"/>
    <col min="10503" max="10503" width="9.5703125" style="756" customWidth="1"/>
    <col min="10504" max="10504" width="9.85546875" style="756" customWidth="1"/>
    <col min="10505" max="10505" width="6.5703125" style="756" customWidth="1"/>
    <col min="10506" max="10506" width="6" style="756" bestFit="1" customWidth="1"/>
    <col min="10507" max="10507" width="6.28515625" style="756" customWidth="1"/>
    <col min="10508" max="10508" width="11.7109375" style="756" customWidth="1"/>
    <col min="10509" max="10509" width="0" style="756" hidden="1" customWidth="1"/>
    <col min="10510" max="10510" width="14.5703125" style="756" customWidth="1"/>
    <col min="10511" max="10511" width="11.85546875" style="756" customWidth="1"/>
    <col min="10512" max="10746" width="9.140625" style="756"/>
    <col min="10747" max="10747" width="2.85546875" style="756" customWidth="1"/>
    <col min="10748" max="10748" width="50.7109375" style="756" customWidth="1"/>
    <col min="10749" max="10749" width="9.42578125" style="756" customWidth="1"/>
    <col min="10750" max="10750" width="11.85546875" style="756" customWidth="1"/>
    <col min="10751" max="10751" width="8.42578125" style="756" bestFit="1" customWidth="1"/>
    <col min="10752" max="10754" width="0" style="756" hidden="1" customWidth="1"/>
    <col min="10755" max="10755" width="6" style="756" bestFit="1" customWidth="1"/>
    <col min="10756" max="10756" width="9.5703125" style="756" customWidth="1"/>
    <col min="10757" max="10757" width="9.85546875" style="756" customWidth="1"/>
    <col min="10758" max="10758" width="9.7109375" style="756" customWidth="1"/>
    <col min="10759" max="10759" width="9.5703125" style="756" customWidth="1"/>
    <col min="10760" max="10760" width="9.85546875" style="756" customWidth="1"/>
    <col min="10761" max="10761" width="6.5703125" style="756" customWidth="1"/>
    <col min="10762" max="10762" width="6" style="756" bestFit="1" customWidth="1"/>
    <col min="10763" max="10763" width="6.28515625" style="756" customWidth="1"/>
    <col min="10764" max="10764" width="11.7109375" style="756" customWidth="1"/>
    <col min="10765" max="10765" width="0" style="756" hidden="1" customWidth="1"/>
    <col min="10766" max="10766" width="14.5703125" style="756" customWidth="1"/>
    <col min="10767" max="10767" width="11.85546875" style="756" customWidth="1"/>
    <col min="10768" max="11002" width="9.140625" style="756"/>
    <col min="11003" max="11003" width="2.85546875" style="756" customWidth="1"/>
    <col min="11004" max="11004" width="50.7109375" style="756" customWidth="1"/>
    <col min="11005" max="11005" width="9.42578125" style="756" customWidth="1"/>
    <col min="11006" max="11006" width="11.85546875" style="756" customWidth="1"/>
    <col min="11007" max="11007" width="8.42578125" style="756" bestFit="1" customWidth="1"/>
    <col min="11008" max="11010" width="0" style="756" hidden="1" customWidth="1"/>
    <col min="11011" max="11011" width="6" style="756" bestFit="1" customWidth="1"/>
    <col min="11012" max="11012" width="9.5703125" style="756" customWidth="1"/>
    <col min="11013" max="11013" width="9.85546875" style="756" customWidth="1"/>
    <col min="11014" max="11014" width="9.7109375" style="756" customWidth="1"/>
    <col min="11015" max="11015" width="9.5703125" style="756" customWidth="1"/>
    <col min="11016" max="11016" width="9.85546875" style="756" customWidth="1"/>
    <col min="11017" max="11017" width="6.5703125" style="756" customWidth="1"/>
    <col min="11018" max="11018" width="6" style="756" bestFit="1" customWidth="1"/>
    <col min="11019" max="11019" width="6.28515625" style="756" customWidth="1"/>
    <col min="11020" max="11020" width="11.7109375" style="756" customWidth="1"/>
    <col min="11021" max="11021" width="0" style="756" hidden="1" customWidth="1"/>
    <col min="11022" max="11022" width="14.5703125" style="756" customWidth="1"/>
    <col min="11023" max="11023" width="11.85546875" style="756" customWidth="1"/>
    <col min="11024" max="11258" width="9.140625" style="756"/>
    <col min="11259" max="11259" width="2.85546875" style="756" customWidth="1"/>
    <col min="11260" max="11260" width="50.7109375" style="756" customWidth="1"/>
    <col min="11261" max="11261" width="9.42578125" style="756" customWidth="1"/>
    <col min="11262" max="11262" width="11.85546875" style="756" customWidth="1"/>
    <col min="11263" max="11263" width="8.42578125" style="756" bestFit="1" customWidth="1"/>
    <col min="11264" max="11266" width="0" style="756" hidden="1" customWidth="1"/>
    <col min="11267" max="11267" width="6" style="756" bestFit="1" customWidth="1"/>
    <col min="11268" max="11268" width="9.5703125" style="756" customWidth="1"/>
    <col min="11269" max="11269" width="9.85546875" style="756" customWidth="1"/>
    <col min="11270" max="11270" width="9.7109375" style="756" customWidth="1"/>
    <col min="11271" max="11271" width="9.5703125" style="756" customWidth="1"/>
    <col min="11272" max="11272" width="9.85546875" style="756" customWidth="1"/>
    <col min="11273" max="11273" width="6.5703125" style="756" customWidth="1"/>
    <col min="11274" max="11274" width="6" style="756" bestFit="1" customWidth="1"/>
    <col min="11275" max="11275" width="6.28515625" style="756" customWidth="1"/>
    <col min="11276" max="11276" width="11.7109375" style="756" customWidth="1"/>
    <col min="11277" max="11277" width="0" style="756" hidden="1" customWidth="1"/>
    <col min="11278" max="11278" width="14.5703125" style="756" customWidth="1"/>
    <col min="11279" max="11279" width="11.85546875" style="756" customWidth="1"/>
    <col min="11280" max="11514" width="9.140625" style="756"/>
    <col min="11515" max="11515" width="2.85546875" style="756" customWidth="1"/>
    <col min="11516" max="11516" width="50.7109375" style="756" customWidth="1"/>
    <col min="11517" max="11517" width="9.42578125" style="756" customWidth="1"/>
    <col min="11518" max="11518" width="11.85546875" style="756" customWidth="1"/>
    <col min="11519" max="11519" width="8.42578125" style="756" bestFit="1" customWidth="1"/>
    <col min="11520" max="11522" width="0" style="756" hidden="1" customWidth="1"/>
    <col min="11523" max="11523" width="6" style="756" bestFit="1" customWidth="1"/>
    <col min="11524" max="11524" width="9.5703125" style="756" customWidth="1"/>
    <col min="11525" max="11525" width="9.85546875" style="756" customWidth="1"/>
    <col min="11526" max="11526" width="9.7109375" style="756" customWidth="1"/>
    <col min="11527" max="11527" width="9.5703125" style="756" customWidth="1"/>
    <col min="11528" max="11528" width="9.85546875" style="756" customWidth="1"/>
    <col min="11529" max="11529" width="6.5703125" style="756" customWidth="1"/>
    <col min="11530" max="11530" width="6" style="756" bestFit="1" customWidth="1"/>
    <col min="11531" max="11531" width="6.28515625" style="756" customWidth="1"/>
    <col min="11532" max="11532" width="11.7109375" style="756" customWidth="1"/>
    <col min="11533" max="11533" width="0" style="756" hidden="1" customWidth="1"/>
    <col min="11534" max="11534" width="14.5703125" style="756" customWidth="1"/>
    <col min="11535" max="11535" width="11.85546875" style="756" customWidth="1"/>
    <col min="11536" max="11770" width="9.140625" style="756"/>
    <col min="11771" max="11771" width="2.85546875" style="756" customWidth="1"/>
    <col min="11772" max="11772" width="50.7109375" style="756" customWidth="1"/>
    <col min="11773" max="11773" width="9.42578125" style="756" customWidth="1"/>
    <col min="11774" max="11774" width="11.85546875" style="756" customWidth="1"/>
    <col min="11775" max="11775" width="8.42578125" style="756" bestFit="1" customWidth="1"/>
    <col min="11776" max="11778" width="0" style="756" hidden="1" customWidth="1"/>
    <col min="11779" max="11779" width="6" style="756" bestFit="1" customWidth="1"/>
    <col min="11780" max="11780" width="9.5703125" style="756" customWidth="1"/>
    <col min="11781" max="11781" width="9.85546875" style="756" customWidth="1"/>
    <col min="11782" max="11782" width="9.7109375" style="756" customWidth="1"/>
    <col min="11783" max="11783" width="9.5703125" style="756" customWidth="1"/>
    <col min="11784" max="11784" width="9.85546875" style="756" customWidth="1"/>
    <col min="11785" max="11785" width="6.5703125" style="756" customWidth="1"/>
    <col min="11786" max="11786" width="6" style="756" bestFit="1" customWidth="1"/>
    <col min="11787" max="11787" width="6.28515625" style="756" customWidth="1"/>
    <col min="11788" max="11788" width="11.7109375" style="756" customWidth="1"/>
    <col min="11789" max="11789" width="0" style="756" hidden="1" customWidth="1"/>
    <col min="11790" max="11790" width="14.5703125" style="756" customWidth="1"/>
    <col min="11791" max="11791" width="11.85546875" style="756" customWidth="1"/>
    <col min="11792" max="12026" width="9.140625" style="756"/>
    <col min="12027" max="12027" width="2.85546875" style="756" customWidth="1"/>
    <col min="12028" max="12028" width="50.7109375" style="756" customWidth="1"/>
    <col min="12029" max="12029" width="9.42578125" style="756" customWidth="1"/>
    <col min="12030" max="12030" width="11.85546875" style="756" customWidth="1"/>
    <col min="12031" max="12031" width="8.42578125" style="756" bestFit="1" customWidth="1"/>
    <col min="12032" max="12034" width="0" style="756" hidden="1" customWidth="1"/>
    <col min="12035" max="12035" width="6" style="756" bestFit="1" customWidth="1"/>
    <col min="12036" max="12036" width="9.5703125" style="756" customWidth="1"/>
    <col min="12037" max="12037" width="9.85546875" style="756" customWidth="1"/>
    <col min="12038" max="12038" width="9.7109375" style="756" customWidth="1"/>
    <col min="12039" max="12039" width="9.5703125" style="756" customWidth="1"/>
    <col min="12040" max="12040" width="9.85546875" style="756" customWidth="1"/>
    <col min="12041" max="12041" width="6.5703125" style="756" customWidth="1"/>
    <col min="12042" max="12042" width="6" style="756" bestFit="1" customWidth="1"/>
    <col min="12043" max="12043" width="6.28515625" style="756" customWidth="1"/>
    <col min="12044" max="12044" width="11.7109375" style="756" customWidth="1"/>
    <col min="12045" max="12045" width="0" style="756" hidden="1" customWidth="1"/>
    <col min="12046" max="12046" width="14.5703125" style="756" customWidth="1"/>
    <col min="12047" max="12047" width="11.85546875" style="756" customWidth="1"/>
    <col min="12048" max="12282" width="9.140625" style="756"/>
    <col min="12283" max="12283" width="2.85546875" style="756" customWidth="1"/>
    <col min="12284" max="12284" width="50.7109375" style="756" customWidth="1"/>
    <col min="12285" max="12285" width="9.42578125" style="756" customWidth="1"/>
    <col min="12286" max="12286" width="11.85546875" style="756" customWidth="1"/>
    <col min="12287" max="12287" width="8.42578125" style="756" bestFit="1" customWidth="1"/>
    <col min="12288" max="12290" width="0" style="756" hidden="1" customWidth="1"/>
    <col min="12291" max="12291" width="6" style="756" bestFit="1" customWidth="1"/>
    <col min="12292" max="12292" width="9.5703125" style="756" customWidth="1"/>
    <col min="12293" max="12293" width="9.85546875" style="756" customWidth="1"/>
    <col min="12294" max="12294" width="9.7109375" style="756" customWidth="1"/>
    <col min="12295" max="12295" width="9.5703125" style="756" customWidth="1"/>
    <col min="12296" max="12296" width="9.85546875" style="756" customWidth="1"/>
    <col min="12297" max="12297" width="6.5703125" style="756" customWidth="1"/>
    <col min="12298" max="12298" width="6" style="756" bestFit="1" customWidth="1"/>
    <col min="12299" max="12299" width="6.28515625" style="756" customWidth="1"/>
    <col min="12300" max="12300" width="11.7109375" style="756" customWidth="1"/>
    <col min="12301" max="12301" width="0" style="756" hidden="1" customWidth="1"/>
    <col min="12302" max="12302" width="14.5703125" style="756" customWidth="1"/>
    <col min="12303" max="12303" width="11.85546875" style="756" customWidth="1"/>
    <col min="12304" max="12538" width="9.140625" style="756"/>
    <col min="12539" max="12539" width="2.85546875" style="756" customWidth="1"/>
    <col min="12540" max="12540" width="50.7109375" style="756" customWidth="1"/>
    <col min="12541" max="12541" width="9.42578125" style="756" customWidth="1"/>
    <col min="12542" max="12542" width="11.85546875" style="756" customWidth="1"/>
    <col min="12543" max="12543" width="8.42578125" style="756" bestFit="1" customWidth="1"/>
    <col min="12544" max="12546" width="0" style="756" hidden="1" customWidth="1"/>
    <col min="12547" max="12547" width="6" style="756" bestFit="1" customWidth="1"/>
    <col min="12548" max="12548" width="9.5703125" style="756" customWidth="1"/>
    <col min="12549" max="12549" width="9.85546875" style="756" customWidth="1"/>
    <col min="12550" max="12550" width="9.7109375" style="756" customWidth="1"/>
    <col min="12551" max="12551" width="9.5703125" style="756" customWidth="1"/>
    <col min="12552" max="12552" width="9.85546875" style="756" customWidth="1"/>
    <col min="12553" max="12553" width="6.5703125" style="756" customWidth="1"/>
    <col min="12554" max="12554" width="6" style="756" bestFit="1" customWidth="1"/>
    <col min="12555" max="12555" width="6.28515625" style="756" customWidth="1"/>
    <col min="12556" max="12556" width="11.7109375" style="756" customWidth="1"/>
    <col min="12557" max="12557" width="0" style="756" hidden="1" customWidth="1"/>
    <col min="12558" max="12558" width="14.5703125" style="756" customWidth="1"/>
    <col min="12559" max="12559" width="11.85546875" style="756" customWidth="1"/>
    <col min="12560" max="12794" width="9.140625" style="756"/>
    <col min="12795" max="12795" width="2.85546875" style="756" customWidth="1"/>
    <col min="12796" max="12796" width="50.7109375" style="756" customWidth="1"/>
    <col min="12797" max="12797" width="9.42578125" style="756" customWidth="1"/>
    <col min="12798" max="12798" width="11.85546875" style="756" customWidth="1"/>
    <col min="12799" max="12799" width="8.42578125" style="756" bestFit="1" customWidth="1"/>
    <col min="12800" max="12802" width="0" style="756" hidden="1" customWidth="1"/>
    <col min="12803" max="12803" width="6" style="756" bestFit="1" customWidth="1"/>
    <col min="12804" max="12804" width="9.5703125" style="756" customWidth="1"/>
    <col min="12805" max="12805" width="9.85546875" style="756" customWidth="1"/>
    <col min="12806" max="12806" width="9.7109375" style="756" customWidth="1"/>
    <col min="12807" max="12807" width="9.5703125" style="756" customWidth="1"/>
    <col min="12808" max="12808" width="9.85546875" style="756" customWidth="1"/>
    <col min="12809" max="12809" width="6.5703125" style="756" customWidth="1"/>
    <col min="12810" max="12810" width="6" style="756" bestFit="1" customWidth="1"/>
    <col min="12811" max="12811" width="6.28515625" style="756" customWidth="1"/>
    <col min="12812" max="12812" width="11.7109375" style="756" customWidth="1"/>
    <col min="12813" max="12813" width="0" style="756" hidden="1" customWidth="1"/>
    <col min="12814" max="12814" width="14.5703125" style="756" customWidth="1"/>
    <col min="12815" max="12815" width="11.85546875" style="756" customWidth="1"/>
    <col min="12816" max="13050" width="9.140625" style="756"/>
    <col min="13051" max="13051" width="2.85546875" style="756" customWidth="1"/>
    <col min="13052" max="13052" width="50.7109375" style="756" customWidth="1"/>
    <col min="13053" max="13053" width="9.42578125" style="756" customWidth="1"/>
    <col min="13054" max="13054" width="11.85546875" style="756" customWidth="1"/>
    <col min="13055" max="13055" width="8.42578125" style="756" bestFit="1" customWidth="1"/>
    <col min="13056" max="13058" width="0" style="756" hidden="1" customWidth="1"/>
    <col min="13059" max="13059" width="6" style="756" bestFit="1" customWidth="1"/>
    <col min="13060" max="13060" width="9.5703125" style="756" customWidth="1"/>
    <col min="13061" max="13061" width="9.85546875" style="756" customWidth="1"/>
    <col min="13062" max="13062" width="9.7109375" style="756" customWidth="1"/>
    <col min="13063" max="13063" width="9.5703125" style="756" customWidth="1"/>
    <col min="13064" max="13064" width="9.85546875" style="756" customWidth="1"/>
    <col min="13065" max="13065" width="6.5703125" style="756" customWidth="1"/>
    <col min="13066" max="13066" width="6" style="756" bestFit="1" customWidth="1"/>
    <col min="13067" max="13067" width="6.28515625" style="756" customWidth="1"/>
    <col min="13068" max="13068" width="11.7109375" style="756" customWidth="1"/>
    <col min="13069" max="13069" width="0" style="756" hidden="1" customWidth="1"/>
    <col min="13070" max="13070" width="14.5703125" style="756" customWidth="1"/>
    <col min="13071" max="13071" width="11.85546875" style="756" customWidth="1"/>
    <col min="13072" max="13306" width="9.140625" style="756"/>
    <col min="13307" max="13307" width="2.85546875" style="756" customWidth="1"/>
    <col min="13308" max="13308" width="50.7109375" style="756" customWidth="1"/>
    <col min="13309" max="13309" width="9.42578125" style="756" customWidth="1"/>
    <col min="13310" max="13310" width="11.85546875" style="756" customWidth="1"/>
    <col min="13311" max="13311" width="8.42578125" style="756" bestFit="1" customWidth="1"/>
    <col min="13312" max="13314" width="0" style="756" hidden="1" customWidth="1"/>
    <col min="13315" max="13315" width="6" style="756" bestFit="1" customWidth="1"/>
    <col min="13316" max="13316" width="9.5703125" style="756" customWidth="1"/>
    <col min="13317" max="13317" width="9.85546875" style="756" customWidth="1"/>
    <col min="13318" max="13318" width="9.7109375" style="756" customWidth="1"/>
    <col min="13319" max="13319" width="9.5703125" style="756" customWidth="1"/>
    <col min="13320" max="13320" width="9.85546875" style="756" customWidth="1"/>
    <col min="13321" max="13321" width="6.5703125" style="756" customWidth="1"/>
    <col min="13322" max="13322" width="6" style="756" bestFit="1" customWidth="1"/>
    <col min="13323" max="13323" width="6.28515625" style="756" customWidth="1"/>
    <col min="13324" max="13324" width="11.7109375" style="756" customWidth="1"/>
    <col min="13325" max="13325" width="0" style="756" hidden="1" customWidth="1"/>
    <col min="13326" max="13326" width="14.5703125" style="756" customWidth="1"/>
    <col min="13327" max="13327" width="11.85546875" style="756" customWidth="1"/>
    <col min="13328" max="13562" width="9.140625" style="756"/>
    <col min="13563" max="13563" width="2.85546875" style="756" customWidth="1"/>
    <col min="13564" max="13564" width="50.7109375" style="756" customWidth="1"/>
    <col min="13565" max="13565" width="9.42578125" style="756" customWidth="1"/>
    <col min="13566" max="13566" width="11.85546875" style="756" customWidth="1"/>
    <col min="13567" max="13567" width="8.42578125" style="756" bestFit="1" customWidth="1"/>
    <col min="13568" max="13570" width="0" style="756" hidden="1" customWidth="1"/>
    <col min="13571" max="13571" width="6" style="756" bestFit="1" customWidth="1"/>
    <col min="13572" max="13572" width="9.5703125" style="756" customWidth="1"/>
    <col min="13573" max="13573" width="9.85546875" style="756" customWidth="1"/>
    <col min="13574" max="13574" width="9.7109375" style="756" customWidth="1"/>
    <col min="13575" max="13575" width="9.5703125" style="756" customWidth="1"/>
    <col min="13576" max="13576" width="9.85546875" style="756" customWidth="1"/>
    <col min="13577" max="13577" width="6.5703125" style="756" customWidth="1"/>
    <col min="13578" max="13578" width="6" style="756" bestFit="1" customWidth="1"/>
    <col min="13579" max="13579" width="6.28515625" style="756" customWidth="1"/>
    <col min="13580" max="13580" width="11.7109375" style="756" customWidth="1"/>
    <col min="13581" max="13581" width="0" style="756" hidden="1" customWidth="1"/>
    <col min="13582" max="13582" width="14.5703125" style="756" customWidth="1"/>
    <col min="13583" max="13583" width="11.85546875" style="756" customWidth="1"/>
    <col min="13584" max="13818" width="9.140625" style="756"/>
    <col min="13819" max="13819" width="2.85546875" style="756" customWidth="1"/>
    <col min="13820" max="13820" width="50.7109375" style="756" customWidth="1"/>
    <col min="13821" max="13821" width="9.42578125" style="756" customWidth="1"/>
    <col min="13822" max="13822" width="11.85546875" style="756" customWidth="1"/>
    <col min="13823" max="13823" width="8.42578125" style="756" bestFit="1" customWidth="1"/>
    <col min="13824" max="13826" width="0" style="756" hidden="1" customWidth="1"/>
    <col min="13827" max="13827" width="6" style="756" bestFit="1" customWidth="1"/>
    <col min="13828" max="13828" width="9.5703125" style="756" customWidth="1"/>
    <col min="13829" max="13829" width="9.85546875" style="756" customWidth="1"/>
    <col min="13830" max="13830" width="9.7109375" style="756" customWidth="1"/>
    <col min="13831" max="13831" width="9.5703125" style="756" customWidth="1"/>
    <col min="13832" max="13832" width="9.85546875" style="756" customWidth="1"/>
    <col min="13833" max="13833" width="6.5703125" style="756" customWidth="1"/>
    <col min="13834" max="13834" width="6" style="756" bestFit="1" customWidth="1"/>
    <col min="13835" max="13835" width="6.28515625" style="756" customWidth="1"/>
    <col min="13836" max="13836" width="11.7109375" style="756" customWidth="1"/>
    <col min="13837" max="13837" width="0" style="756" hidden="1" customWidth="1"/>
    <col min="13838" max="13838" width="14.5703125" style="756" customWidth="1"/>
    <col min="13839" max="13839" width="11.85546875" style="756" customWidth="1"/>
    <col min="13840" max="14074" width="9.140625" style="756"/>
    <col min="14075" max="14075" width="2.85546875" style="756" customWidth="1"/>
    <col min="14076" max="14076" width="50.7109375" style="756" customWidth="1"/>
    <col min="14077" max="14077" width="9.42578125" style="756" customWidth="1"/>
    <col min="14078" max="14078" width="11.85546875" style="756" customWidth="1"/>
    <col min="14079" max="14079" width="8.42578125" style="756" bestFit="1" customWidth="1"/>
    <col min="14080" max="14082" width="0" style="756" hidden="1" customWidth="1"/>
    <col min="14083" max="14083" width="6" style="756" bestFit="1" customWidth="1"/>
    <col min="14084" max="14084" width="9.5703125" style="756" customWidth="1"/>
    <col min="14085" max="14085" width="9.85546875" style="756" customWidth="1"/>
    <col min="14086" max="14086" width="9.7109375" style="756" customWidth="1"/>
    <col min="14087" max="14087" width="9.5703125" style="756" customWidth="1"/>
    <col min="14088" max="14088" width="9.85546875" style="756" customWidth="1"/>
    <col min="14089" max="14089" width="6.5703125" style="756" customWidth="1"/>
    <col min="14090" max="14090" width="6" style="756" bestFit="1" customWidth="1"/>
    <col min="14091" max="14091" width="6.28515625" style="756" customWidth="1"/>
    <col min="14092" max="14092" width="11.7109375" style="756" customWidth="1"/>
    <col min="14093" max="14093" width="0" style="756" hidden="1" customWidth="1"/>
    <col min="14094" max="14094" width="14.5703125" style="756" customWidth="1"/>
    <col min="14095" max="14095" width="11.85546875" style="756" customWidth="1"/>
    <col min="14096" max="14330" width="9.140625" style="756"/>
    <col min="14331" max="14331" width="2.85546875" style="756" customWidth="1"/>
    <col min="14332" max="14332" width="50.7109375" style="756" customWidth="1"/>
    <col min="14333" max="14333" width="9.42578125" style="756" customWidth="1"/>
    <col min="14334" max="14334" width="11.85546875" style="756" customWidth="1"/>
    <col min="14335" max="14335" width="8.42578125" style="756" bestFit="1" customWidth="1"/>
    <col min="14336" max="14338" width="0" style="756" hidden="1" customWidth="1"/>
    <col min="14339" max="14339" width="6" style="756" bestFit="1" customWidth="1"/>
    <col min="14340" max="14340" width="9.5703125" style="756" customWidth="1"/>
    <col min="14341" max="14341" width="9.85546875" style="756" customWidth="1"/>
    <col min="14342" max="14342" width="9.7109375" style="756" customWidth="1"/>
    <col min="14343" max="14343" width="9.5703125" style="756" customWidth="1"/>
    <col min="14344" max="14344" width="9.85546875" style="756" customWidth="1"/>
    <col min="14345" max="14345" width="6.5703125" style="756" customWidth="1"/>
    <col min="14346" max="14346" width="6" style="756" bestFit="1" customWidth="1"/>
    <col min="14347" max="14347" width="6.28515625" style="756" customWidth="1"/>
    <col min="14348" max="14348" width="11.7109375" style="756" customWidth="1"/>
    <col min="14349" max="14349" width="0" style="756" hidden="1" customWidth="1"/>
    <col min="14350" max="14350" width="14.5703125" style="756" customWidth="1"/>
    <col min="14351" max="14351" width="11.85546875" style="756" customWidth="1"/>
    <col min="14352" max="14586" width="9.140625" style="756"/>
    <col min="14587" max="14587" width="2.85546875" style="756" customWidth="1"/>
    <col min="14588" max="14588" width="50.7109375" style="756" customWidth="1"/>
    <col min="14589" max="14589" width="9.42578125" style="756" customWidth="1"/>
    <col min="14590" max="14590" width="11.85546875" style="756" customWidth="1"/>
    <col min="14591" max="14591" width="8.42578125" style="756" bestFit="1" customWidth="1"/>
    <col min="14592" max="14594" width="0" style="756" hidden="1" customWidth="1"/>
    <col min="14595" max="14595" width="6" style="756" bestFit="1" customWidth="1"/>
    <col min="14596" max="14596" width="9.5703125" style="756" customWidth="1"/>
    <col min="14597" max="14597" width="9.85546875" style="756" customWidth="1"/>
    <col min="14598" max="14598" width="9.7109375" style="756" customWidth="1"/>
    <col min="14599" max="14599" width="9.5703125" style="756" customWidth="1"/>
    <col min="14600" max="14600" width="9.85546875" style="756" customWidth="1"/>
    <col min="14601" max="14601" width="6.5703125" style="756" customWidth="1"/>
    <col min="14602" max="14602" width="6" style="756" bestFit="1" customWidth="1"/>
    <col min="14603" max="14603" width="6.28515625" style="756" customWidth="1"/>
    <col min="14604" max="14604" width="11.7109375" style="756" customWidth="1"/>
    <col min="14605" max="14605" width="0" style="756" hidden="1" customWidth="1"/>
    <col min="14606" max="14606" width="14.5703125" style="756" customWidth="1"/>
    <col min="14607" max="14607" width="11.85546875" style="756" customWidth="1"/>
    <col min="14608" max="14842" width="9.140625" style="756"/>
    <col min="14843" max="14843" width="2.85546875" style="756" customWidth="1"/>
    <col min="14844" max="14844" width="50.7109375" style="756" customWidth="1"/>
    <col min="14845" max="14845" width="9.42578125" style="756" customWidth="1"/>
    <col min="14846" max="14846" width="11.85546875" style="756" customWidth="1"/>
    <col min="14847" max="14847" width="8.42578125" style="756" bestFit="1" customWidth="1"/>
    <col min="14848" max="14850" width="0" style="756" hidden="1" customWidth="1"/>
    <col min="14851" max="14851" width="6" style="756" bestFit="1" customWidth="1"/>
    <col min="14852" max="14852" width="9.5703125" style="756" customWidth="1"/>
    <col min="14853" max="14853" width="9.85546875" style="756" customWidth="1"/>
    <col min="14854" max="14854" width="9.7109375" style="756" customWidth="1"/>
    <col min="14855" max="14855" width="9.5703125" style="756" customWidth="1"/>
    <col min="14856" max="14856" width="9.85546875" style="756" customWidth="1"/>
    <col min="14857" max="14857" width="6.5703125" style="756" customWidth="1"/>
    <col min="14858" max="14858" width="6" style="756" bestFit="1" customWidth="1"/>
    <col min="14859" max="14859" width="6.28515625" style="756" customWidth="1"/>
    <col min="14860" max="14860" width="11.7109375" style="756" customWidth="1"/>
    <col min="14861" max="14861" width="0" style="756" hidden="1" customWidth="1"/>
    <col min="14862" max="14862" width="14.5703125" style="756" customWidth="1"/>
    <col min="14863" max="14863" width="11.85546875" style="756" customWidth="1"/>
    <col min="14864" max="15098" width="9.140625" style="756"/>
    <col min="15099" max="15099" width="2.85546875" style="756" customWidth="1"/>
    <col min="15100" max="15100" width="50.7109375" style="756" customWidth="1"/>
    <col min="15101" max="15101" width="9.42578125" style="756" customWidth="1"/>
    <col min="15102" max="15102" width="11.85546875" style="756" customWidth="1"/>
    <col min="15103" max="15103" width="8.42578125" style="756" bestFit="1" customWidth="1"/>
    <col min="15104" max="15106" width="0" style="756" hidden="1" customWidth="1"/>
    <col min="15107" max="15107" width="6" style="756" bestFit="1" customWidth="1"/>
    <col min="15108" max="15108" width="9.5703125" style="756" customWidth="1"/>
    <col min="15109" max="15109" width="9.85546875" style="756" customWidth="1"/>
    <col min="15110" max="15110" width="9.7109375" style="756" customWidth="1"/>
    <col min="15111" max="15111" width="9.5703125" style="756" customWidth="1"/>
    <col min="15112" max="15112" width="9.85546875" style="756" customWidth="1"/>
    <col min="15113" max="15113" width="6.5703125" style="756" customWidth="1"/>
    <col min="15114" max="15114" width="6" style="756" bestFit="1" customWidth="1"/>
    <col min="15115" max="15115" width="6.28515625" style="756" customWidth="1"/>
    <col min="15116" max="15116" width="11.7109375" style="756" customWidth="1"/>
    <col min="15117" max="15117" width="0" style="756" hidden="1" customWidth="1"/>
    <col min="15118" max="15118" width="14.5703125" style="756" customWidth="1"/>
    <col min="15119" max="15119" width="11.85546875" style="756" customWidth="1"/>
    <col min="15120" max="15354" width="9.140625" style="756"/>
    <col min="15355" max="15355" width="2.85546875" style="756" customWidth="1"/>
    <col min="15356" max="15356" width="50.7109375" style="756" customWidth="1"/>
    <col min="15357" max="15357" width="9.42578125" style="756" customWidth="1"/>
    <col min="15358" max="15358" width="11.85546875" style="756" customWidth="1"/>
    <col min="15359" max="15359" width="8.42578125" style="756" bestFit="1" customWidth="1"/>
    <col min="15360" max="15362" width="0" style="756" hidden="1" customWidth="1"/>
    <col min="15363" max="15363" width="6" style="756" bestFit="1" customWidth="1"/>
    <col min="15364" max="15364" width="9.5703125" style="756" customWidth="1"/>
    <col min="15365" max="15365" width="9.85546875" style="756" customWidth="1"/>
    <col min="15366" max="15366" width="9.7109375" style="756" customWidth="1"/>
    <col min="15367" max="15367" width="9.5703125" style="756" customWidth="1"/>
    <col min="15368" max="15368" width="9.85546875" style="756" customWidth="1"/>
    <col min="15369" max="15369" width="6.5703125" style="756" customWidth="1"/>
    <col min="15370" max="15370" width="6" style="756" bestFit="1" customWidth="1"/>
    <col min="15371" max="15371" width="6.28515625" style="756" customWidth="1"/>
    <col min="15372" max="15372" width="11.7109375" style="756" customWidth="1"/>
    <col min="15373" max="15373" width="0" style="756" hidden="1" customWidth="1"/>
    <col min="15374" max="15374" width="14.5703125" style="756" customWidth="1"/>
    <col min="15375" max="15375" width="11.85546875" style="756" customWidth="1"/>
    <col min="15376" max="15610" width="9.140625" style="756"/>
    <col min="15611" max="15611" width="2.85546875" style="756" customWidth="1"/>
    <col min="15612" max="15612" width="50.7109375" style="756" customWidth="1"/>
    <col min="15613" max="15613" width="9.42578125" style="756" customWidth="1"/>
    <col min="15614" max="15614" width="11.85546875" style="756" customWidth="1"/>
    <col min="15615" max="15615" width="8.42578125" style="756" bestFit="1" customWidth="1"/>
    <col min="15616" max="15618" width="0" style="756" hidden="1" customWidth="1"/>
    <col min="15619" max="15619" width="6" style="756" bestFit="1" customWidth="1"/>
    <col min="15620" max="15620" width="9.5703125" style="756" customWidth="1"/>
    <col min="15621" max="15621" width="9.85546875" style="756" customWidth="1"/>
    <col min="15622" max="15622" width="9.7109375" style="756" customWidth="1"/>
    <col min="15623" max="15623" width="9.5703125" style="756" customWidth="1"/>
    <col min="15624" max="15624" width="9.85546875" style="756" customWidth="1"/>
    <col min="15625" max="15625" width="6.5703125" style="756" customWidth="1"/>
    <col min="15626" max="15626" width="6" style="756" bestFit="1" customWidth="1"/>
    <col min="15627" max="15627" width="6.28515625" style="756" customWidth="1"/>
    <col min="15628" max="15628" width="11.7109375" style="756" customWidth="1"/>
    <col min="15629" max="15629" width="0" style="756" hidden="1" customWidth="1"/>
    <col min="15630" max="15630" width="14.5703125" style="756" customWidth="1"/>
    <col min="15631" max="15631" width="11.85546875" style="756" customWidth="1"/>
    <col min="15632" max="15866" width="9.140625" style="756"/>
    <col min="15867" max="15867" width="2.85546875" style="756" customWidth="1"/>
    <col min="15868" max="15868" width="50.7109375" style="756" customWidth="1"/>
    <col min="15869" max="15869" width="9.42578125" style="756" customWidth="1"/>
    <col min="15870" max="15870" width="11.85546875" style="756" customWidth="1"/>
    <col min="15871" max="15871" width="8.42578125" style="756" bestFit="1" customWidth="1"/>
    <col min="15872" max="15874" width="0" style="756" hidden="1" customWidth="1"/>
    <col min="15875" max="15875" width="6" style="756" bestFit="1" customWidth="1"/>
    <col min="15876" max="15876" width="9.5703125" style="756" customWidth="1"/>
    <col min="15877" max="15877" width="9.85546875" style="756" customWidth="1"/>
    <col min="15878" max="15878" width="9.7109375" style="756" customWidth="1"/>
    <col min="15879" max="15879" width="9.5703125" style="756" customWidth="1"/>
    <col min="15880" max="15880" width="9.85546875" style="756" customWidth="1"/>
    <col min="15881" max="15881" width="6.5703125" style="756" customWidth="1"/>
    <col min="15882" max="15882" width="6" style="756" bestFit="1" customWidth="1"/>
    <col min="15883" max="15883" width="6.28515625" style="756" customWidth="1"/>
    <col min="15884" max="15884" width="11.7109375" style="756" customWidth="1"/>
    <col min="15885" max="15885" width="0" style="756" hidden="1" customWidth="1"/>
    <col min="15886" max="15886" width="14.5703125" style="756" customWidth="1"/>
    <col min="15887" max="15887" width="11.85546875" style="756" customWidth="1"/>
    <col min="15888" max="16122" width="9.140625" style="756"/>
    <col min="16123" max="16123" width="2.85546875" style="756" customWidth="1"/>
    <col min="16124" max="16124" width="50.7109375" style="756" customWidth="1"/>
    <col min="16125" max="16125" width="9.42578125" style="756" customWidth="1"/>
    <col min="16126" max="16126" width="11.85546875" style="756" customWidth="1"/>
    <col min="16127" max="16127" width="8.42578125" style="756" bestFit="1" customWidth="1"/>
    <col min="16128" max="16130" width="0" style="756" hidden="1" customWidth="1"/>
    <col min="16131" max="16131" width="6" style="756" bestFit="1" customWidth="1"/>
    <col min="16132" max="16132" width="9.5703125" style="756" customWidth="1"/>
    <col min="16133" max="16133" width="9.85546875" style="756" customWidth="1"/>
    <col min="16134" max="16134" width="9.7109375" style="756" customWidth="1"/>
    <col min="16135" max="16135" width="9.5703125" style="756" customWidth="1"/>
    <col min="16136" max="16136" width="9.85546875" style="756" customWidth="1"/>
    <col min="16137" max="16137" width="6.5703125" style="756" customWidth="1"/>
    <col min="16138" max="16138" width="6" style="756" bestFit="1" customWidth="1"/>
    <col min="16139" max="16139" width="6.28515625" style="756" customWidth="1"/>
    <col min="16140" max="16140" width="11.7109375" style="756" customWidth="1"/>
    <col min="16141" max="16141" width="0" style="756" hidden="1" customWidth="1"/>
    <col min="16142" max="16142" width="14.5703125" style="756" customWidth="1"/>
    <col min="16143" max="16143" width="11.85546875" style="756" customWidth="1"/>
    <col min="16144" max="16384" width="9.140625" style="756"/>
  </cols>
  <sheetData>
    <row r="1" spans="1:15" ht="15" customHeight="1">
      <c r="H1" s="1150" t="s">
        <v>227</v>
      </c>
      <c r="M1" s="741"/>
      <c r="N1" s="742"/>
    </row>
    <row r="2" spans="1:15" ht="2.25" customHeight="1">
      <c r="M2" s="741"/>
      <c r="N2" s="742"/>
    </row>
    <row r="3" spans="1:15" ht="9" customHeight="1">
      <c r="M3" s="741"/>
      <c r="N3" s="742"/>
    </row>
    <row r="4" spans="1:15" ht="36" customHeight="1" thickBot="1">
      <c r="A4" s="3705" t="s">
        <v>221</v>
      </c>
      <c r="B4" s="3705"/>
      <c r="C4" s="3705"/>
      <c r="D4" s="3705"/>
      <c r="E4" s="3705"/>
      <c r="F4" s="3705"/>
      <c r="G4" s="3705"/>
      <c r="H4" s="3705"/>
      <c r="I4" s="3705"/>
      <c r="J4" s="3705"/>
      <c r="K4" s="3705"/>
      <c r="L4" s="3705"/>
      <c r="M4" s="3705"/>
      <c r="N4" s="3705"/>
    </row>
    <row r="5" spans="1:15" ht="69" customHeight="1">
      <c r="A5" s="1151"/>
      <c r="B5" s="3706" t="s">
        <v>75</v>
      </c>
      <c r="C5" s="3216" t="s">
        <v>71</v>
      </c>
      <c r="D5" s="3420" t="s">
        <v>120</v>
      </c>
      <c r="E5" s="2801" t="s">
        <v>296</v>
      </c>
      <c r="F5" s="3510" t="s">
        <v>415</v>
      </c>
      <c r="G5" s="3230"/>
      <c r="H5" s="3230"/>
      <c r="I5" s="3230"/>
      <c r="J5" s="3230"/>
      <c r="K5" s="3230"/>
      <c r="L5" s="3231"/>
      <c r="M5" s="3583" t="s">
        <v>412</v>
      </c>
      <c r="N5" s="3410" t="s">
        <v>73</v>
      </c>
    </row>
    <row r="6" spans="1:15" ht="21.75" customHeight="1" thickBot="1">
      <c r="A6" s="1152"/>
      <c r="B6" s="3707"/>
      <c r="C6" s="3465"/>
      <c r="D6" s="3467"/>
      <c r="E6" s="1342" t="s">
        <v>557</v>
      </c>
      <c r="F6" s="743" t="s">
        <v>5</v>
      </c>
      <c r="G6" s="743" t="s">
        <v>6</v>
      </c>
      <c r="H6" s="743" t="s">
        <v>229</v>
      </c>
      <c r="I6" s="743" t="s">
        <v>230</v>
      </c>
      <c r="J6" s="743" t="s">
        <v>288</v>
      </c>
      <c r="K6" s="743" t="s">
        <v>289</v>
      </c>
      <c r="L6" s="743" t="s">
        <v>290</v>
      </c>
      <c r="M6" s="3708"/>
      <c r="N6" s="3412"/>
    </row>
    <row r="7" spans="1:15" ht="15" customHeight="1" thickBot="1">
      <c r="A7" s="1465">
        <v>1</v>
      </c>
      <c r="B7" s="1466">
        <v>2</v>
      </c>
      <c r="C7" s="1467" t="s">
        <v>121</v>
      </c>
      <c r="D7" s="1467" t="s">
        <v>122</v>
      </c>
      <c r="E7" s="1467">
        <v>5</v>
      </c>
      <c r="F7" s="1467">
        <v>6</v>
      </c>
      <c r="G7" s="1467">
        <v>7</v>
      </c>
      <c r="H7" s="1467">
        <v>8</v>
      </c>
      <c r="I7" s="1467">
        <v>9</v>
      </c>
      <c r="J7" s="1467">
        <v>10</v>
      </c>
      <c r="K7" s="1467">
        <v>11</v>
      </c>
      <c r="L7" s="1467">
        <v>12</v>
      </c>
      <c r="M7" s="1468">
        <v>13</v>
      </c>
      <c r="N7" s="1469">
        <v>14</v>
      </c>
    </row>
    <row r="8" spans="1:15" s="1154" customFormat="1" ht="15.75" customHeight="1">
      <c r="A8" s="751"/>
      <c r="B8" s="265" t="s">
        <v>76</v>
      </c>
      <c r="C8" s="239"/>
      <c r="D8" s="1343">
        <f>+D9+D10</f>
        <v>2254391</v>
      </c>
      <c r="E8" s="240">
        <f t="shared" ref="E8" si="0">+E9+E10</f>
        <v>438262</v>
      </c>
      <c r="F8" s="240">
        <f t="shared" ref="F8" si="1">+F9+F10</f>
        <v>827639</v>
      </c>
      <c r="G8" s="240">
        <f t="shared" ref="G8:M8" si="2">+G9+G10</f>
        <v>716400</v>
      </c>
      <c r="H8" s="240">
        <f t="shared" si="2"/>
        <v>145187</v>
      </c>
      <c r="I8" s="240">
        <f t="shared" si="2"/>
        <v>126903</v>
      </c>
      <c r="J8" s="240">
        <f t="shared" si="2"/>
        <v>0</v>
      </c>
      <c r="K8" s="240">
        <f t="shared" si="2"/>
        <v>0</v>
      </c>
      <c r="L8" s="240">
        <f t="shared" si="2"/>
        <v>0</v>
      </c>
      <c r="M8" s="168">
        <f t="shared" si="2"/>
        <v>1816129</v>
      </c>
      <c r="N8" s="1111"/>
      <c r="O8" s="1153"/>
    </row>
    <row r="9" spans="1:15" s="1154" customFormat="1" ht="13.5" customHeight="1">
      <c r="A9" s="751"/>
      <c r="B9" s="254" t="s">
        <v>77</v>
      </c>
      <c r="C9" s="242"/>
      <c r="D9" s="1335">
        <f>+D25+D34+D54</f>
        <v>2246830</v>
      </c>
      <c r="E9" s="243">
        <f t="shared" ref="E9" si="3">+E25+E34+E54</f>
        <v>438262</v>
      </c>
      <c r="F9" s="243">
        <f t="shared" ref="F9:I9" si="4">+F25+F34+F54</f>
        <v>820078</v>
      </c>
      <c r="G9" s="243">
        <f t="shared" si="4"/>
        <v>716400</v>
      </c>
      <c r="H9" s="243">
        <f t="shared" si="4"/>
        <v>145187</v>
      </c>
      <c r="I9" s="243">
        <f t="shared" si="4"/>
        <v>126903</v>
      </c>
      <c r="J9" s="243">
        <f>+J25+J34+J55</f>
        <v>0</v>
      </c>
      <c r="K9" s="243">
        <f>+K25+K34+K55</f>
        <v>0</v>
      </c>
      <c r="L9" s="243">
        <f>+L25+L34+L55</f>
        <v>0</v>
      </c>
      <c r="M9" s="744">
        <f>SUM(F9:L9)</f>
        <v>1808568</v>
      </c>
      <c r="N9" s="1111"/>
    </row>
    <row r="10" spans="1:15" s="1154" customFormat="1" ht="13.5" customHeight="1" thickBot="1">
      <c r="A10" s="751"/>
      <c r="B10" s="1155" t="s">
        <v>9</v>
      </c>
      <c r="C10" s="1156"/>
      <c r="D10" s="1344">
        <f>D43+D72</f>
        <v>7561</v>
      </c>
      <c r="E10" s="1157">
        <f>E43+E72</f>
        <v>0</v>
      </c>
      <c r="F10" s="1157">
        <f>F43+F72</f>
        <v>7561</v>
      </c>
      <c r="G10" s="1157">
        <f t="shared" ref="G10:L10" si="5">G43+G72</f>
        <v>0</v>
      </c>
      <c r="H10" s="1157">
        <f t="shared" si="5"/>
        <v>0</v>
      </c>
      <c r="I10" s="1157">
        <f t="shared" si="5"/>
        <v>0</v>
      </c>
      <c r="J10" s="1157">
        <f t="shared" si="5"/>
        <v>0</v>
      </c>
      <c r="K10" s="1157">
        <f t="shared" si="5"/>
        <v>0</v>
      </c>
      <c r="L10" s="1157">
        <f t="shared" si="5"/>
        <v>0</v>
      </c>
      <c r="M10" s="170">
        <f>SUM(F10:L10)</f>
        <v>7561</v>
      </c>
      <c r="N10" s="1111"/>
    </row>
    <row r="11" spans="1:15" ht="14.25" customHeight="1">
      <c r="A11" s="751"/>
      <c r="B11" s="104" t="s">
        <v>10</v>
      </c>
      <c r="C11" s="101"/>
      <c r="D11" s="134">
        <f>D12+D15</f>
        <v>2254391</v>
      </c>
      <c r="E11" s="134">
        <f t="shared" ref="E11" si="6">E12+E15</f>
        <v>438262</v>
      </c>
      <c r="F11" s="134">
        <f t="shared" ref="F11:L11" si="7">F12+F15</f>
        <v>827639</v>
      </c>
      <c r="G11" s="134">
        <f t="shared" si="7"/>
        <v>716400</v>
      </c>
      <c r="H11" s="134">
        <f t="shared" si="7"/>
        <v>145187</v>
      </c>
      <c r="I11" s="134">
        <f t="shared" si="7"/>
        <v>126903</v>
      </c>
      <c r="J11" s="134">
        <f t="shared" si="7"/>
        <v>0</v>
      </c>
      <c r="K11" s="134">
        <f t="shared" si="7"/>
        <v>0</v>
      </c>
      <c r="L11" s="134">
        <f t="shared" si="7"/>
        <v>0</v>
      </c>
      <c r="M11" s="647">
        <f>+M12+M15</f>
        <v>1816129</v>
      </c>
      <c r="N11" s="1113"/>
    </row>
    <row r="12" spans="1:15" ht="13.5" customHeight="1">
      <c r="A12" s="751"/>
      <c r="B12" s="1158" t="s">
        <v>24</v>
      </c>
      <c r="C12" s="1159"/>
      <c r="D12" s="1160">
        <f>+D13+D14</f>
        <v>378025</v>
      </c>
      <c r="E12" s="1160">
        <f t="shared" ref="E12" si="8">+E13+E14</f>
        <v>73925</v>
      </c>
      <c r="F12" s="1160">
        <f t="shared" ref="F12:L12" si="9">+F13+F14</f>
        <v>134532</v>
      </c>
      <c r="G12" s="1160">
        <f t="shared" si="9"/>
        <v>114557</v>
      </c>
      <c r="H12" s="1160">
        <f t="shared" si="9"/>
        <v>28877</v>
      </c>
      <c r="I12" s="1160">
        <f t="shared" si="9"/>
        <v>26134</v>
      </c>
      <c r="J12" s="1160">
        <f t="shared" si="9"/>
        <v>0</v>
      </c>
      <c r="K12" s="1160">
        <f t="shared" si="9"/>
        <v>0</v>
      </c>
      <c r="L12" s="1160">
        <f t="shared" si="9"/>
        <v>0</v>
      </c>
      <c r="M12" s="1161">
        <f>+M13+M14</f>
        <v>304100</v>
      </c>
      <c r="N12" s="1115"/>
    </row>
    <row r="13" spans="1:15" ht="14.25" customHeight="1">
      <c r="A13" s="751"/>
      <c r="B13" s="1162" t="s">
        <v>12</v>
      </c>
      <c r="C13" s="1163"/>
      <c r="D13" s="753">
        <f>D27+D36+D60</f>
        <v>278628</v>
      </c>
      <c r="E13" s="753">
        <f t="shared" ref="E13" si="10">E27+E36+E60</f>
        <v>51859</v>
      </c>
      <c r="F13" s="753">
        <f t="shared" ref="F13:L13" si="11">F27+F36+F60</f>
        <v>109160</v>
      </c>
      <c r="G13" s="753">
        <f t="shared" si="11"/>
        <v>97238</v>
      </c>
      <c r="H13" s="753">
        <f t="shared" si="11"/>
        <v>11557</v>
      </c>
      <c r="I13" s="753">
        <f t="shared" si="11"/>
        <v>8814</v>
      </c>
      <c r="J13" s="753">
        <f t="shared" si="11"/>
        <v>0</v>
      </c>
      <c r="K13" s="753">
        <f t="shared" si="11"/>
        <v>0</v>
      </c>
      <c r="L13" s="753">
        <f t="shared" si="11"/>
        <v>0</v>
      </c>
      <c r="M13" s="736">
        <f>SUM(F13:L13)</f>
        <v>226769</v>
      </c>
      <c r="N13" s="1115"/>
    </row>
    <row r="14" spans="1:15" ht="13.5" customHeight="1">
      <c r="A14" s="751"/>
      <c r="B14" s="1162" t="s">
        <v>13</v>
      </c>
      <c r="C14" s="1163"/>
      <c r="D14" s="1164">
        <f>+D56+D74</f>
        <v>99397</v>
      </c>
      <c r="E14" s="1164">
        <f>+E56+E74</f>
        <v>22066</v>
      </c>
      <c r="F14" s="1164">
        <f>+F56+F74</f>
        <v>25372</v>
      </c>
      <c r="G14" s="1164">
        <f t="shared" ref="G14:I14" si="12">+G56+G74</f>
        <v>17319</v>
      </c>
      <c r="H14" s="1164">
        <f t="shared" si="12"/>
        <v>17320</v>
      </c>
      <c r="I14" s="1164">
        <f t="shared" si="12"/>
        <v>17320</v>
      </c>
      <c r="J14" s="1164">
        <f t="shared" ref="J14:L14" si="13">+J56</f>
        <v>0</v>
      </c>
      <c r="K14" s="1164">
        <f t="shared" si="13"/>
        <v>0</v>
      </c>
      <c r="L14" s="1164">
        <f t="shared" si="13"/>
        <v>0</v>
      </c>
      <c r="M14" s="736">
        <f>SUM(F14:L14)</f>
        <v>77331</v>
      </c>
      <c r="N14" s="1115"/>
    </row>
    <row r="15" spans="1:15" ht="13.5" customHeight="1">
      <c r="A15" s="751"/>
      <c r="B15" s="1165" t="s">
        <v>18</v>
      </c>
      <c r="C15" s="1166"/>
      <c r="D15" s="1160">
        <f>+D16+D17</f>
        <v>1876366</v>
      </c>
      <c r="E15" s="1160">
        <f t="shared" ref="E15" si="14">+E16+E17</f>
        <v>364337</v>
      </c>
      <c r="F15" s="1160">
        <f t="shared" ref="F15:L15" si="15">+F16+F17</f>
        <v>693107</v>
      </c>
      <c r="G15" s="1160">
        <f t="shared" si="15"/>
        <v>601843</v>
      </c>
      <c r="H15" s="1160">
        <f t="shared" si="15"/>
        <v>116310</v>
      </c>
      <c r="I15" s="1160">
        <f t="shared" si="15"/>
        <v>100769</v>
      </c>
      <c r="J15" s="1160">
        <f t="shared" si="15"/>
        <v>0</v>
      </c>
      <c r="K15" s="1160">
        <f t="shared" si="15"/>
        <v>0</v>
      </c>
      <c r="L15" s="1160">
        <f t="shared" si="15"/>
        <v>0</v>
      </c>
      <c r="M15" s="735">
        <f>+M16+M17</f>
        <v>1512029</v>
      </c>
      <c r="N15" s="1115"/>
    </row>
    <row r="16" spans="1:15" ht="13.5" hidden="1" customHeight="1">
      <c r="A16" s="751"/>
      <c r="B16" s="1162" t="s">
        <v>21</v>
      </c>
      <c r="C16" s="1167"/>
      <c r="D16" s="745"/>
      <c r="E16" s="745"/>
      <c r="F16" s="745"/>
      <c r="G16" s="745"/>
      <c r="H16" s="745"/>
      <c r="I16" s="745"/>
      <c r="J16" s="745"/>
      <c r="K16" s="745"/>
      <c r="L16" s="745"/>
      <c r="M16" s="736">
        <f>SUM(F16:L16)</f>
        <v>0</v>
      </c>
      <c r="N16" s="1115"/>
    </row>
    <row r="17" spans="1:16" ht="12.75" customHeight="1">
      <c r="A17" s="751"/>
      <c r="B17" s="746" t="s">
        <v>20</v>
      </c>
      <c r="C17" s="1167"/>
      <c r="D17" s="745">
        <f>+D29+D38+D62+D76</f>
        <v>1876366</v>
      </c>
      <c r="E17" s="745">
        <f>+E29+E38+E62+E76</f>
        <v>364337</v>
      </c>
      <c r="F17" s="745">
        <f>+F29+F38+F62+F76</f>
        <v>693107</v>
      </c>
      <c r="G17" s="745">
        <f t="shared" ref="G17:I17" si="16">+G29+G38+G62+G76</f>
        <v>601843</v>
      </c>
      <c r="H17" s="745">
        <f t="shared" si="16"/>
        <v>116310</v>
      </c>
      <c r="I17" s="745">
        <f t="shared" si="16"/>
        <v>100769</v>
      </c>
      <c r="J17" s="745">
        <f t="shared" ref="J17:L17" si="17">+J29+J38+J62</f>
        <v>0</v>
      </c>
      <c r="K17" s="745">
        <f t="shared" si="17"/>
        <v>0</v>
      </c>
      <c r="L17" s="745">
        <f t="shared" si="17"/>
        <v>0</v>
      </c>
      <c r="M17" s="736">
        <f>SUM(F17:L17)</f>
        <v>1512029</v>
      </c>
      <c r="N17" s="1115"/>
    </row>
    <row r="18" spans="1:16" ht="15" customHeight="1">
      <c r="A18" s="751"/>
      <c r="B18" s="91" t="s">
        <v>22</v>
      </c>
      <c r="C18" s="662"/>
      <c r="D18" s="747">
        <f>D21+D19</f>
        <v>1975763</v>
      </c>
      <c r="E18" s="747">
        <f>E21+E20</f>
        <v>0</v>
      </c>
      <c r="F18" s="747">
        <f>F21+F20</f>
        <v>406577</v>
      </c>
      <c r="G18" s="747">
        <f t="shared" ref="G18:L18" si="18">G21+G20</f>
        <v>719266</v>
      </c>
      <c r="H18" s="747">
        <f t="shared" si="18"/>
        <v>619162</v>
      </c>
      <c r="I18" s="747">
        <f t="shared" si="18"/>
        <v>131448</v>
      </c>
      <c r="J18" s="747">
        <f t="shared" si="18"/>
        <v>99310</v>
      </c>
      <c r="K18" s="747">
        <f t="shared" si="18"/>
        <v>0</v>
      </c>
      <c r="L18" s="747">
        <f t="shared" si="18"/>
        <v>0</v>
      </c>
      <c r="M18" s="3718" t="s">
        <v>61</v>
      </c>
      <c r="N18" s="754"/>
      <c r="O18" s="755"/>
    </row>
    <row r="19" spans="1:16" ht="14.25" customHeight="1">
      <c r="A19" s="751"/>
      <c r="B19" s="748" t="s">
        <v>12</v>
      </c>
      <c r="C19" s="749"/>
      <c r="D19" s="750">
        <f>+D20</f>
        <v>99397</v>
      </c>
      <c r="E19" s="750">
        <f t="shared" ref="E19:L19" si="19">+E20</f>
        <v>0</v>
      </c>
      <c r="F19" s="750">
        <f t="shared" si="19"/>
        <v>28409</v>
      </c>
      <c r="G19" s="750">
        <f t="shared" si="19"/>
        <v>23359</v>
      </c>
      <c r="H19" s="750">
        <f t="shared" si="19"/>
        <v>17319</v>
      </c>
      <c r="I19" s="750">
        <f t="shared" si="19"/>
        <v>17320</v>
      </c>
      <c r="J19" s="750">
        <f t="shared" si="19"/>
        <v>12990</v>
      </c>
      <c r="K19" s="750">
        <f t="shared" si="19"/>
        <v>0</v>
      </c>
      <c r="L19" s="750">
        <f t="shared" si="19"/>
        <v>0</v>
      </c>
      <c r="M19" s="3122"/>
      <c r="N19" s="754"/>
      <c r="O19" s="755"/>
    </row>
    <row r="20" spans="1:16" ht="12">
      <c r="A20" s="751"/>
      <c r="B20" s="752" t="s">
        <v>13</v>
      </c>
      <c r="C20" s="749"/>
      <c r="D20" s="753">
        <f>+D68+D79</f>
        <v>99397</v>
      </c>
      <c r="E20" s="753">
        <f>+E68+E79</f>
        <v>0</v>
      </c>
      <c r="F20" s="753">
        <f>+F68+F79</f>
        <v>28409</v>
      </c>
      <c r="G20" s="753">
        <f>+G68+G79</f>
        <v>23359</v>
      </c>
      <c r="H20" s="753">
        <f t="shared" ref="H20:J20" si="20">+H68+H79</f>
        <v>17319</v>
      </c>
      <c r="I20" s="753">
        <f t="shared" si="20"/>
        <v>17320</v>
      </c>
      <c r="J20" s="753">
        <f t="shared" si="20"/>
        <v>12990</v>
      </c>
      <c r="K20" s="753">
        <f t="shared" ref="K20:L20" si="21">+K68</f>
        <v>0</v>
      </c>
      <c r="L20" s="753">
        <f t="shared" si="21"/>
        <v>0</v>
      </c>
      <c r="M20" s="3122"/>
      <c r="N20" s="754"/>
      <c r="O20" s="755">
        <f>D14-D20</f>
        <v>0</v>
      </c>
    </row>
    <row r="21" spans="1:16" ht="15" customHeight="1">
      <c r="A21" s="757"/>
      <c r="B21" s="203" t="s">
        <v>18</v>
      </c>
      <c r="C21" s="758"/>
      <c r="D21" s="759">
        <f>+D22+D23</f>
        <v>1876366</v>
      </c>
      <c r="E21" s="759">
        <f t="shared" ref="E21" si="22">+E22+E23</f>
        <v>0</v>
      </c>
      <c r="F21" s="759">
        <f t="shared" ref="F21:L21" si="23">+F22+F23</f>
        <v>378168</v>
      </c>
      <c r="G21" s="759">
        <f t="shared" si="23"/>
        <v>695907</v>
      </c>
      <c r="H21" s="759">
        <f t="shared" si="23"/>
        <v>601843</v>
      </c>
      <c r="I21" s="759">
        <f t="shared" si="23"/>
        <v>114128</v>
      </c>
      <c r="J21" s="759">
        <f t="shared" si="23"/>
        <v>86320</v>
      </c>
      <c r="K21" s="759">
        <f t="shared" si="23"/>
        <v>0</v>
      </c>
      <c r="L21" s="759">
        <f t="shared" si="23"/>
        <v>0</v>
      </c>
      <c r="M21" s="3122"/>
      <c r="N21" s="754"/>
    </row>
    <row r="22" spans="1:16" ht="15" hidden="1" customHeight="1">
      <c r="A22" s="757"/>
      <c r="B22" s="752" t="s">
        <v>21</v>
      </c>
      <c r="C22" s="749"/>
      <c r="D22" s="753"/>
      <c r="E22" s="753"/>
      <c r="F22" s="753"/>
      <c r="G22" s="753"/>
      <c r="H22" s="753"/>
      <c r="I22" s="753"/>
      <c r="J22" s="753"/>
      <c r="K22" s="753"/>
      <c r="L22" s="753"/>
      <c r="M22" s="3122"/>
      <c r="N22" s="754"/>
      <c r="O22" s="755"/>
    </row>
    <row r="23" spans="1:16" ht="12.75" thickBot="1">
      <c r="A23" s="760"/>
      <c r="B23" s="761" t="s">
        <v>20</v>
      </c>
      <c r="C23" s="1168"/>
      <c r="D23" s="753">
        <f>+D32+D41+D70+D81</f>
        <v>1876366</v>
      </c>
      <c r="E23" s="753">
        <f t="shared" ref="E23" si="24">+E32+E41+E70+E81</f>
        <v>0</v>
      </c>
      <c r="F23" s="753">
        <f t="shared" ref="F23:J23" si="25">+F32+F41+F70+F81</f>
        <v>378168</v>
      </c>
      <c r="G23" s="753">
        <f t="shared" si="25"/>
        <v>695907</v>
      </c>
      <c r="H23" s="753">
        <f t="shared" si="25"/>
        <v>601843</v>
      </c>
      <c r="I23" s="753">
        <f t="shared" si="25"/>
        <v>114128</v>
      </c>
      <c r="J23" s="753">
        <f t="shared" si="25"/>
        <v>86320</v>
      </c>
      <c r="K23" s="753">
        <f t="shared" ref="K23:L23" si="26">+K32+K41+K70</f>
        <v>0</v>
      </c>
      <c r="L23" s="753">
        <f t="shared" si="26"/>
        <v>0</v>
      </c>
      <c r="M23" s="3123"/>
      <c r="N23" s="1169"/>
      <c r="O23" s="755">
        <f>D17-D23</f>
        <v>0</v>
      </c>
    </row>
    <row r="24" spans="1:16" ht="26.25" customHeight="1">
      <c r="A24" s="3709" t="s">
        <v>63</v>
      </c>
      <c r="B24" s="762" t="s">
        <v>377</v>
      </c>
      <c r="C24" s="763" t="s">
        <v>111</v>
      </c>
      <c r="D24" s="1170"/>
      <c r="E24" s="1171"/>
      <c r="F24" s="1172"/>
      <c r="G24" s="1172"/>
      <c r="H24" s="1172"/>
      <c r="I24" s="1172"/>
      <c r="J24" s="1172"/>
      <c r="K24" s="1172"/>
      <c r="L24" s="1172"/>
      <c r="M24" s="1173"/>
      <c r="N24" s="3712" t="s">
        <v>376</v>
      </c>
    </row>
    <row r="25" spans="1:16" ht="13.5" customHeight="1">
      <c r="A25" s="3710"/>
      <c r="B25" s="629" t="s">
        <v>10</v>
      </c>
      <c r="C25" s="662"/>
      <c r="D25" s="652">
        <f t="shared" ref="D25" si="27">+D26+D28</f>
        <v>960682</v>
      </c>
      <c r="E25" s="652">
        <f t="shared" ref="E25" si="28">+E26+E28</f>
        <v>184963</v>
      </c>
      <c r="F25" s="652">
        <f t="shared" ref="F25:H25" si="29">+F26+F28</f>
        <v>386875</v>
      </c>
      <c r="G25" s="652">
        <f t="shared" si="29"/>
        <v>354673</v>
      </c>
      <c r="H25" s="652">
        <f t="shared" si="29"/>
        <v>34171</v>
      </c>
      <c r="I25" s="652"/>
      <c r="J25" s="652"/>
      <c r="K25" s="652"/>
      <c r="L25" s="652"/>
      <c r="M25" s="647">
        <f>+M26+M28</f>
        <v>775719</v>
      </c>
      <c r="N25" s="3713"/>
      <c r="O25" s="755"/>
      <c r="P25" s="755"/>
    </row>
    <row r="26" spans="1:16" ht="13.5" customHeight="1">
      <c r="A26" s="3710"/>
      <c r="B26" s="1174" t="s">
        <v>24</v>
      </c>
      <c r="C26" s="3106" t="s">
        <v>301</v>
      </c>
      <c r="D26" s="764">
        <f>+D27</f>
        <v>144102</v>
      </c>
      <c r="E26" s="766">
        <f t="shared" ref="E26:H26" si="30">+E27</f>
        <v>27744</v>
      </c>
      <c r="F26" s="648">
        <f t="shared" si="30"/>
        <v>58031</v>
      </c>
      <c r="G26" s="648">
        <f t="shared" si="30"/>
        <v>53201</v>
      </c>
      <c r="H26" s="648">
        <f t="shared" si="30"/>
        <v>5126</v>
      </c>
      <c r="I26" s="648"/>
      <c r="J26" s="648"/>
      <c r="K26" s="648"/>
      <c r="L26" s="648"/>
      <c r="M26" s="659">
        <f>+M27</f>
        <v>116358</v>
      </c>
      <c r="N26" s="3714"/>
    </row>
    <row r="27" spans="1:16" ht="13.5" customHeight="1">
      <c r="A27" s="3710"/>
      <c r="B27" s="1175" t="s">
        <v>12</v>
      </c>
      <c r="C27" s="3716"/>
      <c r="D27" s="280">
        <f>E27+F27+G27+H27+I27+J27+K27+L27</f>
        <v>144102</v>
      </c>
      <c r="E27" s="321">
        <v>27744</v>
      </c>
      <c r="F27" s="635">
        <v>58031</v>
      </c>
      <c r="G27" s="635">
        <v>53201</v>
      </c>
      <c r="H27" s="635">
        <v>5126</v>
      </c>
      <c r="I27" s="635"/>
      <c r="J27" s="635"/>
      <c r="K27" s="635"/>
      <c r="L27" s="635"/>
      <c r="M27" s="736">
        <f>SUM(F27:L27)</f>
        <v>116358</v>
      </c>
      <c r="N27" s="3714"/>
    </row>
    <row r="28" spans="1:16" ht="13.5" customHeight="1">
      <c r="A28" s="3710"/>
      <c r="B28" s="1176" t="s">
        <v>18</v>
      </c>
      <c r="C28" s="3716"/>
      <c r="D28" s="767">
        <f t="shared" ref="D28:M28" si="31">+D29</f>
        <v>816580</v>
      </c>
      <c r="E28" s="764">
        <f t="shared" si="31"/>
        <v>157219</v>
      </c>
      <c r="F28" s="768">
        <f>+F29</f>
        <v>328844</v>
      </c>
      <c r="G28" s="768">
        <f>+G29</f>
        <v>301472</v>
      </c>
      <c r="H28" s="768">
        <f>+H29</f>
        <v>29045</v>
      </c>
      <c r="I28" s="768"/>
      <c r="J28" s="768"/>
      <c r="K28" s="768"/>
      <c r="L28" s="768"/>
      <c r="M28" s="735">
        <f t="shared" si="31"/>
        <v>659361</v>
      </c>
      <c r="N28" s="3714"/>
    </row>
    <row r="29" spans="1:16" ht="13.5" customHeight="1">
      <c r="A29" s="3710"/>
      <c r="B29" s="1177" t="s">
        <v>20</v>
      </c>
      <c r="C29" s="3716"/>
      <c r="D29" s="280">
        <f>E29+F29+G29+H29+I29+J29+K29+L29</f>
        <v>816580</v>
      </c>
      <c r="E29" s="321">
        <v>157219</v>
      </c>
      <c r="F29" s="737">
        <v>328844</v>
      </c>
      <c r="G29" s="737">
        <v>301472</v>
      </c>
      <c r="H29" s="737">
        <v>29045</v>
      </c>
      <c r="I29" s="737"/>
      <c r="J29" s="737"/>
      <c r="K29" s="737"/>
      <c r="L29" s="737"/>
      <c r="M29" s="736">
        <f>SUM(F29:L29)</f>
        <v>659361</v>
      </c>
      <c r="N29" s="3714"/>
    </row>
    <row r="30" spans="1:16" ht="13.5" customHeight="1">
      <c r="A30" s="3710"/>
      <c r="B30" s="629" t="s">
        <v>22</v>
      </c>
      <c r="C30" s="662"/>
      <c r="D30" s="1178">
        <f>+D31</f>
        <v>816580</v>
      </c>
      <c r="E30" s="1178">
        <v>0</v>
      </c>
      <c r="F30" s="1178">
        <f t="shared" ref="F30:I31" si="32">+F31</f>
        <v>159401</v>
      </c>
      <c r="G30" s="1178">
        <f t="shared" si="32"/>
        <v>328844</v>
      </c>
      <c r="H30" s="1178">
        <f t="shared" si="32"/>
        <v>301472</v>
      </c>
      <c r="I30" s="1178">
        <f t="shared" si="32"/>
        <v>26863</v>
      </c>
      <c r="J30" s="652"/>
      <c r="K30" s="652"/>
      <c r="L30" s="652"/>
      <c r="M30" s="3718" t="s">
        <v>61</v>
      </c>
      <c r="N30" s="3714"/>
    </row>
    <row r="31" spans="1:16" ht="13.5" customHeight="1">
      <c r="A31" s="3710"/>
      <c r="B31" s="1176" t="s">
        <v>18</v>
      </c>
      <c r="C31" s="3172" t="s">
        <v>301</v>
      </c>
      <c r="D31" s="767">
        <f>+D32</f>
        <v>816580</v>
      </c>
      <c r="E31" s="767">
        <v>0</v>
      </c>
      <c r="F31" s="767">
        <f t="shared" si="32"/>
        <v>159401</v>
      </c>
      <c r="G31" s="767">
        <f t="shared" si="32"/>
        <v>328844</v>
      </c>
      <c r="H31" s="767">
        <f t="shared" si="32"/>
        <v>301472</v>
      </c>
      <c r="I31" s="767">
        <f t="shared" si="32"/>
        <v>26863</v>
      </c>
      <c r="J31" s="767"/>
      <c r="K31" s="767"/>
      <c r="L31" s="767"/>
      <c r="M31" s="3122"/>
      <c r="N31" s="3714"/>
      <c r="O31" s="755">
        <f>+D32-D29</f>
        <v>0</v>
      </c>
    </row>
    <row r="32" spans="1:16" ht="13.5" customHeight="1" thickBot="1">
      <c r="A32" s="3711"/>
      <c r="B32" s="1177" t="s">
        <v>20</v>
      </c>
      <c r="C32" s="3717"/>
      <c r="D32" s="280">
        <f>E32+F32+G32+H32+I32+J32+K32+L32</f>
        <v>816580</v>
      </c>
      <c r="E32" s="321">
        <v>0</v>
      </c>
      <c r="F32" s="769">
        <v>159401</v>
      </c>
      <c r="G32" s="769">
        <v>328844</v>
      </c>
      <c r="H32" s="769">
        <v>301472</v>
      </c>
      <c r="I32" s="769">
        <f>29045-2182</f>
        <v>26863</v>
      </c>
      <c r="J32" s="769"/>
      <c r="K32" s="769"/>
      <c r="L32" s="769"/>
      <c r="M32" s="3123"/>
      <c r="N32" s="3715"/>
    </row>
    <row r="33" spans="1:18" ht="37.5" customHeight="1">
      <c r="A33" s="3709" t="s">
        <v>64</v>
      </c>
      <c r="B33" s="762" t="s">
        <v>399</v>
      </c>
      <c r="C33" s="763" t="s">
        <v>111</v>
      </c>
      <c r="D33" s="1170"/>
      <c r="E33" s="1171"/>
      <c r="F33" s="1172"/>
      <c r="G33" s="1172"/>
      <c r="H33" s="1172"/>
      <c r="I33" s="1172"/>
      <c r="J33" s="1172"/>
      <c r="K33" s="1172"/>
      <c r="L33" s="1172"/>
      <c r="M33" s="1179"/>
      <c r="N33" s="3712" t="s">
        <v>376</v>
      </c>
    </row>
    <row r="34" spans="1:18" ht="14.25" customHeight="1">
      <c r="A34" s="3710"/>
      <c r="B34" s="629" t="s">
        <v>10</v>
      </c>
      <c r="C34" s="662"/>
      <c r="D34" s="1178">
        <f t="shared" ref="D34:I34" si="33">+D35+D37</f>
        <v>895017</v>
      </c>
      <c r="E34" s="652">
        <f t="shared" ref="E34" si="34">+E35+E37</f>
        <v>164812</v>
      </c>
      <c r="F34" s="652">
        <f>+F35+F37</f>
        <v>338993</v>
      </c>
      <c r="G34" s="652">
        <f t="shared" si="33"/>
        <v>292249</v>
      </c>
      <c r="H34" s="652">
        <f t="shared" si="33"/>
        <v>41538</v>
      </c>
      <c r="I34" s="652">
        <f t="shared" si="33"/>
        <v>57425</v>
      </c>
      <c r="J34" s="652"/>
      <c r="K34" s="652"/>
      <c r="L34" s="652"/>
      <c r="M34" s="647">
        <f>+M35+M37</f>
        <v>730205</v>
      </c>
      <c r="N34" s="3713"/>
      <c r="O34" s="755"/>
      <c r="P34" s="755"/>
      <c r="Q34" s="755"/>
      <c r="R34" s="755"/>
    </row>
    <row r="35" spans="1:18" ht="12" customHeight="1">
      <c r="A35" s="3710"/>
      <c r="B35" s="1174" t="s">
        <v>24</v>
      </c>
      <c r="C35" s="3106" t="s">
        <v>301</v>
      </c>
      <c r="D35" s="1180">
        <f>+D36</f>
        <v>133424</v>
      </c>
      <c r="E35" s="771">
        <f t="shared" ref="E35:I35" si="35">+E36</f>
        <v>23893</v>
      </c>
      <c r="F35" s="770">
        <f t="shared" si="35"/>
        <v>50849</v>
      </c>
      <c r="G35" s="770">
        <f t="shared" si="35"/>
        <v>43837</v>
      </c>
      <c r="H35" s="770">
        <f t="shared" si="35"/>
        <v>6231</v>
      </c>
      <c r="I35" s="770">
        <f t="shared" si="35"/>
        <v>8614</v>
      </c>
      <c r="J35" s="658"/>
      <c r="K35" s="658"/>
      <c r="L35" s="658"/>
      <c r="M35" s="735">
        <f>+M36</f>
        <v>109531</v>
      </c>
      <c r="N35" s="3714"/>
    </row>
    <row r="36" spans="1:18" ht="12">
      <c r="A36" s="3710"/>
      <c r="B36" s="1175" t="s">
        <v>12</v>
      </c>
      <c r="C36" s="3716"/>
      <c r="D36" s="280">
        <f>E36+F36+G36+H36+I36+J36+K36+L36</f>
        <v>133424</v>
      </c>
      <c r="E36" s="321">
        <v>23893</v>
      </c>
      <c r="F36" s="635">
        <f>52409-1560</f>
        <v>50849</v>
      </c>
      <c r="G36" s="635">
        <v>43837</v>
      </c>
      <c r="H36" s="635">
        <v>6231</v>
      </c>
      <c r="I36" s="635">
        <v>8614</v>
      </c>
      <c r="J36" s="635"/>
      <c r="K36" s="635"/>
      <c r="L36" s="635"/>
      <c r="M36" s="736">
        <f>SUM(F36:L36)</f>
        <v>109531</v>
      </c>
      <c r="N36" s="3714"/>
    </row>
    <row r="37" spans="1:18" ht="12">
      <c r="A37" s="3710"/>
      <c r="B37" s="1176" t="s">
        <v>18</v>
      </c>
      <c r="C37" s="3716"/>
      <c r="D37" s="772">
        <f t="shared" ref="D37:M37" si="36">+D38</f>
        <v>761593</v>
      </c>
      <c r="E37" s="764">
        <f t="shared" si="36"/>
        <v>140919</v>
      </c>
      <c r="F37" s="766">
        <f t="shared" si="36"/>
        <v>288144</v>
      </c>
      <c r="G37" s="766">
        <f t="shared" si="36"/>
        <v>248412</v>
      </c>
      <c r="H37" s="766">
        <f t="shared" si="36"/>
        <v>35307</v>
      </c>
      <c r="I37" s="766">
        <f t="shared" si="36"/>
        <v>48811</v>
      </c>
      <c r="J37" s="765"/>
      <c r="K37" s="765"/>
      <c r="L37" s="765"/>
      <c r="M37" s="735">
        <f t="shared" si="36"/>
        <v>620674</v>
      </c>
      <c r="N37" s="3714"/>
    </row>
    <row r="38" spans="1:18" ht="12" customHeight="1">
      <c r="A38" s="3710"/>
      <c r="B38" s="1177" t="s">
        <v>20</v>
      </c>
      <c r="C38" s="3716"/>
      <c r="D38" s="280">
        <f>E38+F38+G38+H38+I38+J38+K38+L38</f>
        <v>761593</v>
      </c>
      <c r="E38" s="321">
        <v>140919</v>
      </c>
      <c r="F38" s="737">
        <f>296984-8840</f>
        <v>288144</v>
      </c>
      <c r="G38" s="737">
        <v>248412</v>
      </c>
      <c r="H38" s="737">
        <v>35307</v>
      </c>
      <c r="I38" s="737">
        <v>48811</v>
      </c>
      <c r="J38" s="737"/>
      <c r="K38" s="737"/>
      <c r="L38" s="737"/>
      <c r="M38" s="736">
        <f>SUM(F38:L38)</f>
        <v>620674</v>
      </c>
      <c r="N38" s="3714"/>
    </row>
    <row r="39" spans="1:18" ht="13.5" customHeight="1">
      <c r="A39" s="3710"/>
      <c r="B39" s="626" t="s">
        <v>22</v>
      </c>
      <c r="C39" s="662"/>
      <c r="D39" s="1178">
        <f>+D40</f>
        <v>761593</v>
      </c>
      <c r="E39" s="1178">
        <v>0</v>
      </c>
      <c r="F39" s="1178">
        <f t="shared" ref="F39:I39" si="37">+F40</f>
        <v>133538</v>
      </c>
      <c r="G39" s="1178">
        <f t="shared" si="37"/>
        <v>296984</v>
      </c>
      <c r="H39" s="1178">
        <f t="shared" si="37"/>
        <v>248412</v>
      </c>
      <c r="I39" s="1178">
        <f t="shared" si="37"/>
        <v>35307</v>
      </c>
      <c r="J39" s="1178">
        <f t="shared" ref="F39:J40" si="38">+J40</f>
        <v>47352</v>
      </c>
      <c r="K39" s="652"/>
      <c r="L39" s="652"/>
      <c r="M39" s="3718" t="s">
        <v>61</v>
      </c>
      <c r="N39" s="3714"/>
    </row>
    <row r="40" spans="1:18" ht="12" customHeight="1">
      <c r="A40" s="3710"/>
      <c r="B40" s="1176" t="s">
        <v>18</v>
      </c>
      <c r="C40" s="3172" t="s">
        <v>301</v>
      </c>
      <c r="D40" s="772">
        <f>+D41</f>
        <v>761593</v>
      </c>
      <c r="E40" s="767">
        <v>0</v>
      </c>
      <c r="F40" s="767">
        <f t="shared" si="38"/>
        <v>133538</v>
      </c>
      <c r="G40" s="767">
        <f t="shared" si="38"/>
        <v>296984</v>
      </c>
      <c r="H40" s="767">
        <f t="shared" si="38"/>
        <v>248412</v>
      </c>
      <c r="I40" s="767">
        <f t="shared" si="38"/>
        <v>35307</v>
      </c>
      <c r="J40" s="767">
        <f t="shared" si="38"/>
        <v>47352</v>
      </c>
      <c r="K40" s="767"/>
      <c r="L40" s="767"/>
      <c r="M40" s="3122"/>
      <c r="N40" s="3714"/>
    </row>
    <row r="41" spans="1:18" ht="13.5" thickBot="1">
      <c r="A41" s="3711"/>
      <c r="B41" s="1177" t="s">
        <v>20</v>
      </c>
      <c r="C41" s="3717"/>
      <c r="D41" s="280">
        <f>E41+F41+G41+H41+I41+J41+K41+L41</f>
        <v>761593</v>
      </c>
      <c r="E41" s="321">
        <v>0</v>
      </c>
      <c r="F41" s="620">
        <v>133538</v>
      </c>
      <c r="G41" s="620">
        <v>296984</v>
      </c>
      <c r="H41" s="620">
        <v>248412</v>
      </c>
      <c r="I41" s="620">
        <v>35307</v>
      </c>
      <c r="J41" s="620">
        <f>48811-1459</f>
        <v>47352</v>
      </c>
      <c r="K41" s="1181"/>
      <c r="L41" s="1181"/>
      <c r="M41" s="3123"/>
      <c r="N41" s="3715"/>
      <c r="O41" s="755">
        <f>+D41-D38</f>
        <v>0</v>
      </c>
    </row>
    <row r="42" spans="1:18" ht="12" hidden="1">
      <c r="A42" s="3709" t="s">
        <v>64</v>
      </c>
      <c r="B42" s="762"/>
      <c r="C42" s="763" t="s">
        <v>81</v>
      </c>
      <c r="D42" s="1170"/>
      <c r="E42" s="1171"/>
      <c r="F42" s="1172"/>
      <c r="G42" s="1172"/>
      <c r="H42" s="1172"/>
      <c r="I42" s="1172"/>
      <c r="J42" s="1172"/>
      <c r="K42" s="1172"/>
      <c r="L42" s="1172"/>
      <c r="M42" s="1173"/>
      <c r="N42" s="3712"/>
    </row>
    <row r="43" spans="1:18" ht="15.75" hidden="1" customHeight="1">
      <c r="A43" s="3728"/>
      <c r="B43" s="629" t="s">
        <v>10</v>
      </c>
      <c r="C43" s="662"/>
      <c r="D43" s="1178"/>
      <c r="E43" s="652">
        <v>0</v>
      </c>
      <c r="F43" s="652"/>
      <c r="G43" s="652"/>
      <c r="H43" s="652"/>
      <c r="I43" s="652"/>
      <c r="J43" s="652"/>
      <c r="K43" s="652"/>
      <c r="L43" s="652"/>
      <c r="M43" s="647">
        <f>+M44+M46</f>
        <v>0</v>
      </c>
      <c r="N43" s="3713"/>
      <c r="P43" s="755"/>
    </row>
    <row r="44" spans="1:18" ht="12.75" hidden="1" customHeight="1">
      <c r="A44" s="3728"/>
      <c r="B44" s="1174" t="s">
        <v>24</v>
      </c>
      <c r="C44" s="3106" t="s">
        <v>222</v>
      </c>
      <c r="D44" s="1180"/>
      <c r="E44" s="771">
        <v>0</v>
      </c>
      <c r="F44" s="1154"/>
      <c r="G44" s="1154"/>
      <c r="H44" s="1154"/>
      <c r="I44" s="1154"/>
      <c r="J44" s="1154"/>
      <c r="K44" s="1154"/>
      <c r="L44" s="1154"/>
      <c r="M44" s="735">
        <f>+M45</f>
        <v>0</v>
      </c>
      <c r="N44" s="3714"/>
    </row>
    <row r="45" spans="1:18" ht="12.75" hidden="1" customHeight="1">
      <c r="A45" s="3728"/>
      <c r="B45" s="1175" t="s">
        <v>12</v>
      </c>
      <c r="C45" s="3716"/>
      <c r="D45" s="774"/>
      <c r="E45" s="649">
        <v>0</v>
      </c>
      <c r="F45" s="635"/>
      <c r="G45" s="635"/>
      <c r="H45" s="635"/>
      <c r="I45" s="635"/>
      <c r="J45" s="231"/>
      <c r="K45" s="231"/>
      <c r="L45" s="231"/>
      <c r="M45" s="1182"/>
      <c r="N45" s="3714"/>
    </row>
    <row r="46" spans="1:18" ht="12" hidden="1" customHeight="1">
      <c r="A46" s="3728"/>
      <c r="B46" s="1176" t="s">
        <v>18</v>
      </c>
      <c r="C46" s="3716"/>
      <c r="D46" s="775"/>
      <c r="E46" s="764">
        <v>0</v>
      </c>
      <c r="F46" s="768"/>
      <c r="G46" s="768"/>
      <c r="H46" s="768"/>
      <c r="I46" s="768"/>
      <c r="J46" s="768"/>
      <c r="K46" s="768"/>
      <c r="L46" s="768"/>
      <c r="M46" s="735">
        <f t="shared" ref="M46" si="39">+M47</f>
        <v>0</v>
      </c>
      <c r="N46" s="3714"/>
    </row>
    <row r="47" spans="1:18" ht="13.5" hidden="1" thickBot="1">
      <c r="A47" s="3728"/>
      <c r="B47" s="1183" t="s">
        <v>21</v>
      </c>
      <c r="C47" s="3716"/>
      <c r="D47" s="649"/>
      <c r="E47" s="649"/>
      <c r="F47" s="737"/>
      <c r="G47" s="737"/>
      <c r="H47" s="737"/>
      <c r="I47" s="737"/>
      <c r="J47" s="737"/>
      <c r="K47" s="737"/>
      <c r="L47" s="737"/>
      <c r="M47" s="736">
        <f>SUM(F47:I47)</f>
        <v>0</v>
      </c>
      <c r="N47" s="3714"/>
    </row>
    <row r="48" spans="1:18" ht="15.75" hidden="1" customHeight="1">
      <c r="A48" s="3728"/>
      <c r="B48" s="626" t="s">
        <v>22</v>
      </c>
      <c r="C48" s="662"/>
      <c r="D48" s="116"/>
      <c r="E48" s="1178">
        <v>0</v>
      </c>
      <c r="F48" s="1178"/>
      <c r="G48" s="652"/>
      <c r="H48" s="652"/>
      <c r="I48" s="652"/>
      <c r="J48" s="652"/>
      <c r="K48" s="652"/>
      <c r="L48" s="652"/>
      <c r="M48" s="3718" t="s">
        <v>61</v>
      </c>
      <c r="N48" s="3714"/>
    </row>
    <row r="49" spans="1:15" ht="15.75" hidden="1" customHeight="1">
      <c r="A49" s="3728"/>
      <c r="B49" s="776"/>
      <c r="C49" s="777"/>
      <c r="D49" s="1184"/>
      <c r="E49" s="1185"/>
      <c r="F49" s="1185"/>
      <c r="G49" s="1186"/>
      <c r="H49" s="1186"/>
      <c r="I49" s="1186"/>
      <c r="J49" s="1186"/>
      <c r="K49" s="1186"/>
      <c r="L49" s="1186"/>
      <c r="M49" s="3122"/>
      <c r="N49" s="3714"/>
    </row>
    <row r="50" spans="1:15" ht="15.75" hidden="1" customHeight="1">
      <c r="A50" s="3728"/>
      <c r="B50" s="776"/>
      <c r="C50" s="777"/>
      <c r="D50" s="1184"/>
      <c r="E50" s="1185"/>
      <c r="F50" s="1185"/>
      <c r="G50" s="1186"/>
      <c r="H50" s="1186"/>
      <c r="I50" s="1186"/>
      <c r="J50" s="1186"/>
      <c r="K50" s="1186"/>
      <c r="L50" s="1186"/>
      <c r="M50" s="3122"/>
      <c r="N50" s="3714"/>
    </row>
    <row r="51" spans="1:15" ht="12" hidden="1" customHeight="1">
      <c r="A51" s="3728"/>
      <c r="B51" s="1176" t="s">
        <v>18</v>
      </c>
      <c r="C51" s="3172" t="s">
        <v>223</v>
      </c>
      <c r="D51" s="772"/>
      <c r="E51" s="767">
        <v>0</v>
      </c>
      <c r="F51" s="767"/>
      <c r="G51" s="767"/>
      <c r="H51" s="767"/>
      <c r="I51" s="767"/>
      <c r="J51" s="767"/>
      <c r="K51" s="767"/>
      <c r="L51" s="767"/>
      <c r="M51" s="3122"/>
      <c r="N51" s="3714"/>
    </row>
    <row r="52" spans="1:15" ht="13.5" hidden="1" thickBot="1">
      <c r="A52" s="3729"/>
      <c r="B52" s="1183" t="s">
        <v>21</v>
      </c>
      <c r="C52" s="3717"/>
      <c r="D52" s="620"/>
      <c r="E52" s="620"/>
      <c r="F52" s="773"/>
      <c r="G52" s="773"/>
      <c r="H52" s="773"/>
      <c r="I52" s="773"/>
      <c r="J52" s="773"/>
      <c r="K52" s="773"/>
      <c r="L52" s="773"/>
      <c r="M52" s="3123"/>
      <c r="N52" s="3715"/>
    </row>
    <row r="53" spans="1:15" s="2749" customFormat="1" ht="26.25" customHeight="1">
      <c r="A53" s="3723" t="s">
        <v>65</v>
      </c>
      <c r="B53" s="82" t="s">
        <v>548</v>
      </c>
      <c r="C53" s="64" t="s">
        <v>111</v>
      </c>
      <c r="D53" s="1187"/>
      <c r="E53" s="45"/>
      <c r="F53" s="45"/>
      <c r="G53" s="45"/>
      <c r="H53" s="45"/>
      <c r="I53" s="45"/>
      <c r="J53" s="45"/>
      <c r="K53" s="45"/>
      <c r="L53" s="45"/>
      <c r="M53" s="46"/>
      <c r="N53" s="3143" t="s">
        <v>347</v>
      </c>
    </row>
    <row r="54" spans="1:15" s="2749" customFormat="1" ht="14.25" customHeight="1">
      <c r="A54" s="3727"/>
      <c r="B54" s="830" t="s">
        <v>10</v>
      </c>
      <c r="C54" s="1105"/>
      <c r="D54" s="1025">
        <f>+D55+D61</f>
        <v>391131</v>
      </c>
      <c r="E54" s="1025">
        <f t="shared" ref="E54" si="40">+E55+E61</f>
        <v>88487</v>
      </c>
      <c r="F54" s="983">
        <f t="shared" ref="F54:I54" si="41">+F55+F61</f>
        <v>94210</v>
      </c>
      <c r="G54" s="983">
        <f t="shared" si="41"/>
        <v>69478</v>
      </c>
      <c r="H54" s="983">
        <f t="shared" si="41"/>
        <v>69478</v>
      </c>
      <c r="I54" s="983">
        <f t="shared" si="41"/>
        <v>69478</v>
      </c>
      <c r="J54" s="983"/>
      <c r="K54" s="983"/>
      <c r="L54" s="983"/>
      <c r="M54" s="984">
        <f>+M55+M61</f>
        <v>302644</v>
      </c>
      <c r="N54" s="3153"/>
      <c r="O54" s="1188"/>
    </row>
    <row r="55" spans="1:15" s="2749" customFormat="1" ht="13.5" customHeight="1">
      <c r="A55" s="3727"/>
      <c r="B55" s="1388" t="s">
        <v>12</v>
      </c>
      <c r="C55" s="3106" t="s">
        <v>155</v>
      </c>
      <c r="D55" s="2476">
        <f>+D56+D60</f>
        <v>98610</v>
      </c>
      <c r="E55" s="2476">
        <f t="shared" ref="E55" si="42">+E56+E60</f>
        <v>22288</v>
      </c>
      <c r="F55" s="2477">
        <f t="shared" ref="F55:I55" si="43">+F56+F60</f>
        <v>23763</v>
      </c>
      <c r="G55" s="2477">
        <f t="shared" si="43"/>
        <v>17519</v>
      </c>
      <c r="H55" s="2477">
        <f t="shared" si="43"/>
        <v>17520</v>
      </c>
      <c r="I55" s="2477">
        <f t="shared" si="43"/>
        <v>17520</v>
      </c>
      <c r="J55" s="2476"/>
      <c r="K55" s="2476"/>
      <c r="L55" s="2476"/>
      <c r="M55" s="2478">
        <f>+M56+M60</f>
        <v>76322</v>
      </c>
      <c r="N55" s="3153"/>
    </row>
    <row r="56" spans="1:15" s="2749" customFormat="1" ht="10.5" customHeight="1">
      <c r="A56" s="3727"/>
      <c r="B56" s="257" t="s">
        <v>13</v>
      </c>
      <c r="C56" s="3149"/>
      <c r="D56" s="280">
        <f>E56+F56+G56+H56+I56+J56+K56+L56</f>
        <v>97508</v>
      </c>
      <c r="E56" s="321">
        <v>22066</v>
      </c>
      <c r="F56" s="2292">
        <f>+F58+F59-1889</f>
        <v>23483</v>
      </c>
      <c r="G56" s="2292">
        <f t="shared" ref="G56:I56" si="44">+G58+G59</f>
        <v>17319</v>
      </c>
      <c r="H56" s="2292">
        <f t="shared" si="44"/>
        <v>17320</v>
      </c>
      <c r="I56" s="2292">
        <f t="shared" si="44"/>
        <v>17320</v>
      </c>
      <c r="J56" s="1369"/>
      <c r="K56" s="1369"/>
      <c r="L56" s="1369"/>
      <c r="M56" s="1381">
        <f>SUM(F56:L56)</f>
        <v>75442</v>
      </c>
      <c r="N56" s="3153"/>
      <c r="O56" s="1188">
        <f>D56-D68</f>
        <v>0</v>
      </c>
    </row>
    <row r="57" spans="1:15" s="2749" customFormat="1" ht="12.75" hidden="1">
      <c r="A57" s="3727"/>
      <c r="B57" s="2479" t="s">
        <v>156</v>
      </c>
      <c r="C57" s="3149"/>
      <c r="D57" s="280">
        <f>E57+F57+G57+H57+I57+J57+K57+L57</f>
        <v>0</v>
      </c>
      <c r="E57" s="1369"/>
      <c r="F57" s="998"/>
      <c r="G57" s="998"/>
      <c r="H57" s="998"/>
      <c r="I57" s="998"/>
      <c r="J57" s="998"/>
      <c r="K57" s="998"/>
      <c r="L57" s="998"/>
      <c r="M57" s="1381"/>
      <c r="N57" s="3153"/>
      <c r="O57" s="1188"/>
    </row>
    <row r="58" spans="1:15" s="2749" customFormat="1" ht="12.75" hidden="1">
      <c r="A58" s="3727"/>
      <c r="B58" s="2479" t="s">
        <v>326</v>
      </c>
      <c r="C58" s="3149"/>
      <c r="D58" s="280">
        <f>E58+F58+G58+H58+I58+J58+K58+L58</f>
        <v>44222</v>
      </c>
      <c r="E58" s="1369"/>
      <c r="F58" s="2480">
        <f>8056+671+1501+214+2452</f>
        <v>12894</v>
      </c>
      <c r="G58" s="2480">
        <f>8056+671+1501+214</f>
        <v>10442</v>
      </c>
      <c r="H58" s="2480">
        <f>8057+671+1501+214</f>
        <v>10443</v>
      </c>
      <c r="I58" s="2480">
        <f>8057+671+1501+214</f>
        <v>10443</v>
      </c>
      <c r="J58" s="998"/>
      <c r="K58" s="998"/>
      <c r="L58" s="998"/>
      <c r="M58" s="2481">
        <f>SUM(F58:I58)</f>
        <v>44222</v>
      </c>
      <c r="N58" s="3153"/>
      <c r="O58" s="1188"/>
    </row>
    <row r="59" spans="1:15" s="2749" customFormat="1" ht="12.75" hidden="1">
      <c r="A59" s="3727"/>
      <c r="B59" s="2479" t="s">
        <v>112</v>
      </c>
      <c r="C59" s="3149"/>
      <c r="D59" s="280">
        <f>E59+F59+G59+H59+I59+J59+K59+L59</f>
        <v>33109</v>
      </c>
      <c r="E59" s="1369"/>
      <c r="F59" s="2266">
        <f>512+979+979+1250+2157+750+250+5601</f>
        <v>12478</v>
      </c>
      <c r="G59" s="2480">
        <f>512+979+979+1250+2407+750</f>
        <v>6877</v>
      </c>
      <c r="H59" s="2480">
        <f>512+979+979+1250+2407+750</f>
        <v>6877</v>
      </c>
      <c r="I59" s="2480">
        <f>512+979+979+1250+2407+750</f>
        <v>6877</v>
      </c>
      <c r="J59" s="998"/>
      <c r="K59" s="998"/>
      <c r="L59" s="998"/>
      <c r="M59" s="2481">
        <f>SUM(F59:I59)</f>
        <v>33109</v>
      </c>
      <c r="N59" s="3153"/>
      <c r="O59" s="1188"/>
    </row>
    <row r="60" spans="1:15" s="2749" customFormat="1" ht="13.5" customHeight="1">
      <c r="A60" s="3727"/>
      <c r="B60" s="2239" t="s">
        <v>12</v>
      </c>
      <c r="C60" s="3149"/>
      <c r="D60" s="280">
        <f>E60+F60+G60+H60+I60+J60+K60+L60</f>
        <v>1102</v>
      </c>
      <c r="E60" s="321">
        <v>222</v>
      </c>
      <c r="F60" s="998">
        <v>280</v>
      </c>
      <c r="G60" s="998">
        <v>200</v>
      </c>
      <c r="H60" s="998">
        <v>200</v>
      </c>
      <c r="I60" s="998">
        <v>200</v>
      </c>
      <c r="J60" s="998"/>
      <c r="K60" s="998"/>
      <c r="L60" s="998"/>
      <c r="M60" s="2481">
        <f>SUM(F60:I60)</f>
        <v>880</v>
      </c>
      <c r="N60" s="3153"/>
    </row>
    <row r="61" spans="1:15" s="2749" customFormat="1" ht="13.5" customHeight="1">
      <c r="A61" s="3727"/>
      <c r="B61" s="843" t="s">
        <v>18</v>
      </c>
      <c r="C61" s="3149"/>
      <c r="D61" s="808">
        <f>+D62</f>
        <v>292521</v>
      </c>
      <c r="E61" s="808">
        <f t="shared" ref="E61" si="45">+E62</f>
        <v>66199</v>
      </c>
      <c r="F61" s="1364">
        <f t="shared" ref="F61:I61" si="46">+F62</f>
        <v>70447</v>
      </c>
      <c r="G61" s="1364">
        <f t="shared" si="46"/>
        <v>51959</v>
      </c>
      <c r="H61" s="1364">
        <f t="shared" si="46"/>
        <v>51958</v>
      </c>
      <c r="I61" s="1364">
        <f t="shared" si="46"/>
        <v>51958</v>
      </c>
      <c r="J61" s="1364"/>
      <c r="K61" s="1364"/>
      <c r="L61" s="1364"/>
      <c r="M61" s="1365">
        <f>+M62</f>
        <v>226322</v>
      </c>
      <c r="N61" s="3153"/>
    </row>
    <row r="62" spans="1:15" s="2749" customFormat="1" ht="13.5" customHeight="1">
      <c r="A62" s="3727"/>
      <c r="B62" s="1177" t="s">
        <v>20</v>
      </c>
      <c r="C62" s="3124"/>
      <c r="D62" s="280">
        <f>E62+F62+G62+H62+I62+J62+K62+L62</f>
        <v>292521</v>
      </c>
      <c r="E62" s="321">
        <v>66199</v>
      </c>
      <c r="F62" s="2244">
        <f>SUM(F64:F65)-5672</f>
        <v>70447</v>
      </c>
      <c r="G62" s="2244">
        <f>SUM(G64:G65)</f>
        <v>51959</v>
      </c>
      <c r="H62" s="2244">
        <f>SUM(H64:H65)</f>
        <v>51958</v>
      </c>
      <c r="I62" s="2244">
        <f>SUM(I64:I65)</f>
        <v>51958</v>
      </c>
      <c r="J62" s="1397"/>
      <c r="K62" s="1397"/>
      <c r="L62" s="1397"/>
      <c r="M62" s="1381">
        <f>SUM(F62:L62)</f>
        <v>226322</v>
      </c>
      <c r="N62" s="3153"/>
      <c r="O62" s="1188">
        <f>D62-D70</f>
        <v>0</v>
      </c>
    </row>
    <row r="63" spans="1:15" s="1190" customFormat="1" ht="13.5" hidden="1" customHeight="1">
      <c r="A63" s="3727"/>
      <c r="B63" s="2479" t="s">
        <v>156</v>
      </c>
      <c r="C63" s="2482"/>
      <c r="D63" s="2483"/>
      <c r="E63" s="2484"/>
      <c r="F63" s="2484"/>
      <c r="G63" s="2484"/>
      <c r="H63" s="2484"/>
      <c r="I63" s="2484"/>
      <c r="J63" s="2484"/>
      <c r="K63" s="2484"/>
      <c r="L63" s="2484"/>
      <c r="M63" s="2485"/>
      <c r="N63" s="3153"/>
      <c r="O63" s="1189"/>
    </row>
    <row r="64" spans="1:15" s="1190" customFormat="1" ht="13.5" hidden="1" customHeight="1">
      <c r="A64" s="3727"/>
      <c r="B64" s="2479" t="s">
        <v>326</v>
      </c>
      <c r="C64" s="2482"/>
      <c r="D64" s="2483"/>
      <c r="E64" s="2484"/>
      <c r="F64" s="2484">
        <f>24173+2014+4502+642+7355</f>
        <v>38686</v>
      </c>
      <c r="G64" s="2484">
        <f>24173+2014+4502+642</f>
        <v>31331</v>
      </c>
      <c r="H64" s="2484">
        <f>24172+2014+4502+642</f>
        <v>31330</v>
      </c>
      <c r="I64" s="2484">
        <f>24172+2014+4502+642</f>
        <v>31330</v>
      </c>
      <c r="J64" s="2484"/>
      <c r="K64" s="2484"/>
      <c r="L64" s="2484"/>
      <c r="M64" s="2481">
        <f>SUM(F64:I64)</f>
        <v>132677</v>
      </c>
      <c r="N64" s="3153"/>
      <c r="O64" s="1189"/>
    </row>
    <row r="65" spans="1:16" s="1190" customFormat="1" ht="13.5" hidden="1" customHeight="1">
      <c r="A65" s="3727"/>
      <c r="B65" s="2479" t="s">
        <v>112</v>
      </c>
      <c r="C65" s="2482"/>
      <c r="D65" s="2483"/>
      <c r="E65" s="2484"/>
      <c r="F65" s="2484">
        <f>1537+2936+2936+3750+6469+2250+750+16805</f>
        <v>37433</v>
      </c>
      <c r="G65" s="2484">
        <f>1537+2936+2936+3750+7219+2250</f>
        <v>20628</v>
      </c>
      <c r="H65" s="2484">
        <f>1537+2936+2936+3750+7219+2250</f>
        <v>20628</v>
      </c>
      <c r="I65" s="2484">
        <f>1537+2936+2936+3750+7219+2250</f>
        <v>20628</v>
      </c>
      <c r="J65" s="2484"/>
      <c r="K65" s="2484"/>
      <c r="L65" s="2484"/>
      <c r="M65" s="2481">
        <f>SUM(F65:I65)</f>
        <v>99317</v>
      </c>
      <c r="N65" s="3153"/>
      <c r="O65" s="1189"/>
    </row>
    <row r="66" spans="1:16" s="2749" customFormat="1" ht="12.75">
      <c r="A66" s="3727"/>
      <c r="B66" s="626" t="s">
        <v>22</v>
      </c>
      <c r="C66" s="1105"/>
      <c r="D66" s="982">
        <f>+D67+D69</f>
        <v>390029</v>
      </c>
      <c r="E66" s="982">
        <f t="shared" ref="E66" si="47">+E67+E69</f>
        <v>0</v>
      </c>
      <c r="F66" s="982">
        <f t="shared" ref="F66:J66" si="48">+F67+F69</f>
        <v>113638</v>
      </c>
      <c r="G66" s="982">
        <f t="shared" si="48"/>
        <v>85877</v>
      </c>
      <c r="H66" s="982">
        <f t="shared" si="48"/>
        <v>69278</v>
      </c>
      <c r="I66" s="982">
        <f t="shared" si="48"/>
        <v>69278</v>
      </c>
      <c r="J66" s="982">
        <f t="shared" si="48"/>
        <v>51958</v>
      </c>
      <c r="K66" s="983"/>
      <c r="L66" s="983"/>
      <c r="M66" s="3187" t="s">
        <v>61</v>
      </c>
      <c r="N66" s="3153"/>
    </row>
    <row r="67" spans="1:16" s="2749" customFormat="1" ht="13.5" customHeight="1">
      <c r="A67" s="3727"/>
      <c r="B67" s="837" t="s">
        <v>24</v>
      </c>
      <c r="C67" s="3172" t="s">
        <v>155</v>
      </c>
      <c r="D67" s="2486">
        <f>+D68</f>
        <v>97508</v>
      </c>
      <c r="E67" s="2486">
        <f t="shared" ref="E67" si="49">+E68</f>
        <v>0</v>
      </c>
      <c r="F67" s="2487">
        <f t="shared" ref="F67:J67" si="50">+F68</f>
        <v>28409</v>
      </c>
      <c r="G67" s="2487">
        <f t="shared" si="50"/>
        <v>21470</v>
      </c>
      <c r="H67" s="2487">
        <f t="shared" si="50"/>
        <v>17319</v>
      </c>
      <c r="I67" s="2487">
        <f t="shared" si="50"/>
        <v>17320</v>
      </c>
      <c r="J67" s="2487">
        <f t="shared" si="50"/>
        <v>12990</v>
      </c>
      <c r="K67" s="2487"/>
      <c r="L67" s="2487"/>
      <c r="M67" s="3122"/>
      <c r="N67" s="3153"/>
    </row>
    <row r="68" spans="1:16" s="2749" customFormat="1" ht="12.75">
      <c r="A68" s="3727"/>
      <c r="B68" s="257" t="s">
        <v>13</v>
      </c>
      <c r="C68" s="3251"/>
      <c r="D68" s="2205">
        <f>E68+F68+G68+H68+I68+J68+K68+L68</f>
        <v>97508</v>
      </c>
      <c r="E68" s="321">
        <v>0</v>
      </c>
      <c r="F68" s="1369">
        <v>28409</v>
      </c>
      <c r="G68" s="1369">
        <f>17319+6040-1889</f>
        <v>21470</v>
      </c>
      <c r="H68" s="1369">
        <v>17319</v>
      </c>
      <c r="I68" s="1369">
        <v>17320</v>
      </c>
      <c r="J68" s="1369">
        <v>12990</v>
      </c>
      <c r="K68" s="2488"/>
      <c r="L68" s="2488"/>
      <c r="M68" s="3122"/>
      <c r="N68" s="3153"/>
    </row>
    <row r="69" spans="1:16" s="2749" customFormat="1" ht="12.75">
      <c r="A69" s="3727"/>
      <c r="B69" s="2489" t="s">
        <v>18</v>
      </c>
      <c r="C69" s="3251"/>
      <c r="D69" s="2490">
        <f>+D70</f>
        <v>292521</v>
      </c>
      <c r="E69" s="2490">
        <f t="shared" ref="E69" si="51">+E70</f>
        <v>0</v>
      </c>
      <c r="F69" s="2490">
        <f>+F70</f>
        <v>85229</v>
      </c>
      <c r="G69" s="2490">
        <f>+G70</f>
        <v>64407</v>
      </c>
      <c r="H69" s="2490">
        <f>+H70</f>
        <v>51959</v>
      </c>
      <c r="I69" s="2490">
        <f>+I70</f>
        <v>51958</v>
      </c>
      <c r="J69" s="2490">
        <f>+J70</f>
        <v>38968</v>
      </c>
      <c r="K69" s="2491"/>
      <c r="L69" s="2491"/>
      <c r="M69" s="3122"/>
      <c r="N69" s="3153"/>
    </row>
    <row r="70" spans="1:16" s="2749" customFormat="1" ht="13.5" thickBot="1">
      <c r="A70" s="3724"/>
      <c r="B70" s="1191" t="s">
        <v>20</v>
      </c>
      <c r="C70" s="3591"/>
      <c r="D70" s="2205">
        <f>E70+F70+G70+H70+I70+J70+K70+L70</f>
        <v>292521</v>
      </c>
      <c r="E70" s="321">
        <v>0</v>
      </c>
      <c r="F70" s="620">
        <v>85229</v>
      </c>
      <c r="G70" s="620">
        <f>51959+18120-5672</f>
        <v>64407</v>
      </c>
      <c r="H70" s="620">
        <v>51959</v>
      </c>
      <c r="I70" s="620">
        <v>51958</v>
      </c>
      <c r="J70" s="620">
        <v>38968</v>
      </c>
      <c r="K70" s="1181"/>
      <c r="L70" s="1181"/>
      <c r="M70" s="3123"/>
      <c r="N70" s="3207"/>
    </row>
    <row r="71" spans="1:16" s="2749" customFormat="1" ht="27.75" customHeight="1">
      <c r="A71" s="3723" t="s">
        <v>66</v>
      </c>
      <c r="B71" s="82" t="s">
        <v>510</v>
      </c>
      <c r="C71" s="64" t="s">
        <v>81</v>
      </c>
      <c r="D71" s="1187"/>
      <c r="E71" s="45"/>
      <c r="F71" s="45"/>
      <c r="G71" s="45"/>
      <c r="H71" s="45"/>
      <c r="I71" s="45"/>
      <c r="J71" s="45"/>
      <c r="K71" s="45"/>
      <c r="L71" s="45"/>
      <c r="M71" s="46"/>
      <c r="N71" s="3143" t="s">
        <v>112</v>
      </c>
    </row>
    <row r="72" spans="1:16" s="2749" customFormat="1" ht="14.25" customHeight="1" thickBot="1">
      <c r="A72" s="3724"/>
      <c r="B72" s="830" t="s">
        <v>10</v>
      </c>
      <c r="C72" s="1105"/>
      <c r="D72" s="983">
        <f>+D73+D75</f>
        <v>7561</v>
      </c>
      <c r="E72" s="983">
        <f>+E73+E75</f>
        <v>0</v>
      </c>
      <c r="F72" s="983">
        <f>+F73+F75</f>
        <v>7561</v>
      </c>
      <c r="G72" s="1010">
        <v>0</v>
      </c>
      <c r="H72" s="2492">
        <v>0</v>
      </c>
      <c r="I72" s="2492">
        <v>0</v>
      </c>
      <c r="J72" s="2492">
        <v>0</v>
      </c>
      <c r="K72" s="2492">
        <v>0</v>
      </c>
      <c r="L72" s="2492">
        <v>0</v>
      </c>
      <c r="M72" s="984">
        <f>+L72+K72+J72+I72+H72+G72+F72</f>
        <v>7561</v>
      </c>
      <c r="N72" s="3597"/>
      <c r="O72" s="1188" t="s">
        <v>526</v>
      </c>
    </row>
    <row r="73" spans="1:16" s="2749" customFormat="1" ht="13.5" customHeight="1" thickBot="1">
      <c r="A73" s="3724"/>
      <c r="B73" s="1388" t="s">
        <v>12</v>
      </c>
      <c r="C73" s="3106" t="s">
        <v>155</v>
      </c>
      <c r="D73" s="2477">
        <f>+D74</f>
        <v>1889</v>
      </c>
      <c r="E73" s="2477">
        <f>+E74</f>
        <v>0</v>
      </c>
      <c r="F73" s="2477">
        <f>+F74</f>
        <v>1889</v>
      </c>
      <c r="G73" s="2494">
        <v>0</v>
      </c>
      <c r="H73" s="2493">
        <v>0</v>
      </c>
      <c r="I73" s="2493">
        <v>0</v>
      </c>
      <c r="J73" s="2493">
        <v>0</v>
      </c>
      <c r="K73" s="2493">
        <v>0</v>
      </c>
      <c r="L73" s="2493">
        <v>0</v>
      </c>
      <c r="M73" s="2478">
        <f>+L73+K73+J73+I73+H73+G73+F73</f>
        <v>1889</v>
      </c>
      <c r="N73" s="3597"/>
      <c r="O73" s="2749" t="s">
        <v>527</v>
      </c>
      <c r="P73" s="1188"/>
    </row>
    <row r="74" spans="1:16" s="2749" customFormat="1" ht="13.5" customHeight="1" thickBot="1">
      <c r="A74" s="3724"/>
      <c r="B74" s="257" t="s">
        <v>13</v>
      </c>
      <c r="C74" s="3149"/>
      <c r="D74" s="2205">
        <f>E74+F74+G74+H74+I74+J74+K74+L74</f>
        <v>1889</v>
      </c>
      <c r="E74" s="321">
        <v>0</v>
      </c>
      <c r="F74" s="998">
        <v>1889</v>
      </c>
      <c r="G74" s="2494">
        <v>0</v>
      </c>
      <c r="H74" s="2493">
        <v>0</v>
      </c>
      <c r="I74" s="2493">
        <v>0</v>
      </c>
      <c r="J74" s="2493">
        <v>0</v>
      </c>
      <c r="K74" s="2493">
        <v>0</v>
      </c>
      <c r="L74" s="2493">
        <v>0</v>
      </c>
      <c r="M74" s="2478">
        <f>+L74+K74+J74+I74+H74+G74+F74</f>
        <v>1889</v>
      </c>
      <c r="N74" s="3597"/>
    </row>
    <row r="75" spans="1:16" s="2173" customFormat="1" ht="13.5" thickBot="1">
      <c r="A75" s="3725"/>
      <c r="B75" s="843" t="s">
        <v>18</v>
      </c>
      <c r="C75" s="3149"/>
      <c r="D75" s="986">
        <f>+D76</f>
        <v>5672</v>
      </c>
      <c r="E75" s="986">
        <f>+E76</f>
        <v>0</v>
      </c>
      <c r="F75" s="986">
        <f>+F76</f>
        <v>5672</v>
      </c>
      <c r="G75" s="1012">
        <v>0</v>
      </c>
      <c r="H75" s="2493">
        <v>0</v>
      </c>
      <c r="I75" s="2493">
        <v>0</v>
      </c>
      <c r="J75" s="2493">
        <v>0</v>
      </c>
      <c r="K75" s="2493">
        <v>0</v>
      </c>
      <c r="L75" s="2493">
        <v>0</v>
      </c>
      <c r="M75" s="804" t="e">
        <f>+L75+K75+J75+I75+H75+G75+F75+#REF!</f>
        <v>#REF!</v>
      </c>
      <c r="N75" s="3726"/>
      <c r="O75" s="2172"/>
    </row>
    <row r="76" spans="1:16" s="2749" customFormat="1" ht="13.5" thickBot="1">
      <c r="A76" s="3724"/>
      <c r="B76" s="1177" t="s">
        <v>20</v>
      </c>
      <c r="C76" s="3124"/>
      <c r="D76" s="2205">
        <f>E76+F76+G76+H76+I76+J76+K76+L76</f>
        <v>5672</v>
      </c>
      <c r="E76" s="321">
        <v>0</v>
      </c>
      <c r="F76" s="2244">
        <v>5672</v>
      </c>
      <c r="G76" s="2495">
        <v>0</v>
      </c>
      <c r="H76" s="842">
        <v>0</v>
      </c>
      <c r="I76" s="842">
        <v>0</v>
      </c>
      <c r="J76" s="842">
        <v>0</v>
      </c>
      <c r="K76" s="842">
        <v>0</v>
      </c>
      <c r="L76" s="842">
        <v>0</v>
      </c>
      <c r="M76" s="2481">
        <f>+L76+K76+J76+I76+H76+G76+F76</f>
        <v>5672</v>
      </c>
      <c r="N76" s="3597"/>
      <c r="O76" s="1188"/>
    </row>
    <row r="77" spans="1:16" s="2749" customFormat="1" ht="13.5" thickBot="1">
      <c r="A77" s="3724"/>
      <c r="B77" s="626" t="s">
        <v>22</v>
      </c>
      <c r="C77" s="1105"/>
      <c r="D77" s="982">
        <f>+D78+D80</f>
        <v>7561</v>
      </c>
      <c r="E77" s="982">
        <f>+E78+E80</f>
        <v>0</v>
      </c>
      <c r="F77" s="1106">
        <v>0</v>
      </c>
      <c r="G77" s="982">
        <f>+G78+G80</f>
        <v>7561</v>
      </c>
      <c r="H77" s="1106">
        <v>0</v>
      </c>
      <c r="I77" s="1106">
        <v>0</v>
      </c>
      <c r="J77" s="1106">
        <v>0</v>
      </c>
      <c r="K77" s="1106">
        <v>0</v>
      </c>
      <c r="L77" s="1106">
        <v>0</v>
      </c>
      <c r="M77" s="3112" t="s">
        <v>61</v>
      </c>
      <c r="N77" s="3597"/>
      <c r="O77" s="1188"/>
    </row>
    <row r="78" spans="1:16" s="2173" customFormat="1" ht="12.75" customHeight="1" thickBot="1">
      <c r="A78" s="3725"/>
      <c r="B78" s="837" t="s">
        <v>24</v>
      </c>
      <c r="C78" s="3106" t="s">
        <v>155</v>
      </c>
      <c r="D78" s="1042">
        <f>+D79</f>
        <v>1889</v>
      </c>
      <c r="E78" s="1042">
        <f>+E79</f>
        <v>0</v>
      </c>
      <c r="F78" s="1384">
        <v>0</v>
      </c>
      <c r="G78" s="1042">
        <f>+G79</f>
        <v>1889</v>
      </c>
      <c r="H78" s="2493">
        <v>0</v>
      </c>
      <c r="I78" s="2493">
        <v>0</v>
      </c>
      <c r="J78" s="2493">
        <v>0</v>
      </c>
      <c r="K78" s="2493">
        <v>0</v>
      </c>
      <c r="L78" s="2493">
        <v>0</v>
      </c>
      <c r="M78" s="3089"/>
      <c r="N78" s="3726"/>
      <c r="O78" s="2172"/>
    </row>
    <row r="79" spans="1:16" s="2749" customFormat="1" ht="13.5" customHeight="1" thickBot="1">
      <c r="A79" s="3724"/>
      <c r="B79" s="257" t="s">
        <v>13</v>
      </c>
      <c r="C79" s="3149"/>
      <c r="D79" s="2205">
        <f>E79+F79+G79+H79+I79+J79+K79+L79</f>
        <v>1889</v>
      </c>
      <c r="E79" s="321">
        <v>0</v>
      </c>
      <c r="F79" s="1385">
        <v>0</v>
      </c>
      <c r="G79" s="998">
        <v>1889</v>
      </c>
      <c r="H79" s="842">
        <v>0</v>
      </c>
      <c r="I79" s="842">
        <v>0</v>
      </c>
      <c r="J79" s="842">
        <v>0</v>
      </c>
      <c r="K79" s="842">
        <v>0</v>
      </c>
      <c r="L79" s="842">
        <v>0</v>
      </c>
      <c r="M79" s="3089"/>
      <c r="N79" s="3597"/>
    </row>
    <row r="80" spans="1:16" s="2749" customFormat="1" ht="13.5" customHeight="1" thickBot="1">
      <c r="A80" s="3724"/>
      <c r="B80" s="2489" t="s">
        <v>18</v>
      </c>
      <c r="C80" s="3149"/>
      <c r="D80" s="1364">
        <f>+D81</f>
        <v>5672</v>
      </c>
      <c r="E80" s="1364">
        <f>+E81</f>
        <v>0</v>
      </c>
      <c r="F80" s="1392">
        <v>0</v>
      </c>
      <c r="G80" s="1364">
        <f>+G81</f>
        <v>5672</v>
      </c>
      <c r="H80" s="1387">
        <v>0</v>
      </c>
      <c r="I80" s="1387">
        <v>0</v>
      </c>
      <c r="J80" s="1387">
        <v>0</v>
      </c>
      <c r="K80" s="1387">
        <v>0</v>
      </c>
      <c r="L80" s="1387">
        <v>0</v>
      </c>
      <c r="M80" s="3089"/>
      <c r="N80" s="3597"/>
    </row>
    <row r="81" spans="1:15" s="2749" customFormat="1" ht="13.5" customHeight="1" thickBot="1">
      <c r="A81" s="3724"/>
      <c r="B81" s="1191" t="s">
        <v>20</v>
      </c>
      <c r="C81" s="3137"/>
      <c r="D81" s="2205">
        <f>E81+F81+G81+H81+I81+J81+K81+L81</f>
        <v>5672</v>
      </c>
      <c r="E81" s="321">
        <v>0</v>
      </c>
      <c r="F81" s="2496">
        <v>0</v>
      </c>
      <c r="G81" s="2244">
        <v>5672</v>
      </c>
      <c r="H81" s="842">
        <v>0</v>
      </c>
      <c r="I81" s="842">
        <v>0</v>
      </c>
      <c r="J81" s="842">
        <v>0</v>
      </c>
      <c r="K81" s="842">
        <v>0</v>
      </c>
      <c r="L81" s="842">
        <v>0</v>
      </c>
      <c r="M81" s="3090"/>
      <c r="N81" s="3597"/>
      <c r="O81" s="1188"/>
    </row>
    <row r="82" spans="1:15" ht="28.5" customHeight="1" thickBot="1">
      <c r="A82" s="217" t="s">
        <v>300</v>
      </c>
      <c r="B82" s="1136"/>
      <c r="C82" s="1136"/>
      <c r="D82" s="1136"/>
      <c r="E82" s="1136"/>
      <c r="F82" s="1136"/>
      <c r="G82" s="1136"/>
      <c r="H82" s="1136"/>
      <c r="I82" s="1136"/>
      <c r="J82" s="1136"/>
      <c r="K82" s="1136"/>
      <c r="L82" s="1136"/>
      <c r="M82" s="1137"/>
      <c r="N82" s="1138"/>
    </row>
    <row r="83" spans="1:15" ht="15.75" customHeight="1">
      <c r="A83" s="825"/>
      <c r="B83" s="249" t="s">
        <v>76</v>
      </c>
      <c r="C83" s="250"/>
      <c r="D83" s="251">
        <f>+D84+D85</f>
        <v>303580</v>
      </c>
      <c r="E83" s="251">
        <v>24302</v>
      </c>
      <c r="F83" s="251">
        <f t="shared" ref="F83" si="52">+F84+F85</f>
        <v>60855</v>
      </c>
      <c r="G83" s="251">
        <f t="shared" ref="G83:M83" si="53">+G84+G85</f>
        <v>192856</v>
      </c>
      <c r="H83" s="251">
        <f t="shared" si="53"/>
        <v>25567</v>
      </c>
      <c r="I83" s="251">
        <f t="shared" si="53"/>
        <v>0</v>
      </c>
      <c r="J83" s="251">
        <f t="shared" si="53"/>
        <v>0</v>
      </c>
      <c r="K83" s="251">
        <f t="shared" si="53"/>
        <v>0</v>
      </c>
      <c r="L83" s="251">
        <f t="shared" si="53"/>
        <v>0</v>
      </c>
      <c r="M83" s="168">
        <f t="shared" si="53"/>
        <v>279278</v>
      </c>
      <c r="N83" s="3516" t="s">
        <v>61</v>
      </c>
    </row>
    <row r="84" spans="1:15" ht="16.5" customHeight="1">
      <c r="A84" s="825"/>
      <c r="B84" s="241" t="s">
        <v>77</v>
      </c>
      <c r="C84" s="242"/>
      <c r="D84" s="243">
        <f>+D94+D98</f>
        <v>303580</v>
      </c>
      <c r="E84" s="243">
        <v>24302</v>
      </c>
      <c r="F84" s="243">
        <f t="shared" ref="F84:L84" si="54">+F94+F98</f>
        <v>60855</v>
      </c>
      <c r="G84" s="243">
        <f t="shared" si="54"/>
        <v>192856</v>
      </c>
      <c r="H84" s="243">
        <f t="shared" si="54"/>
        <v>25567</v>
      </c>
      <c r="I84" s="243">
        <f t="shared" si="54"/>
        <v>0</v>
      </c>
      <c r="J84" s="243">
        <f t="shared" si="54"/>
        <v>0</v>
      </c>
      <c r="K84" s="243">
        <f t="shared" si="54"/>
        <v>0</v>
      </c>
      <c r="L84" s="243">
        <f t="shared" si="54"/>
        <v>0</v>
      </c>
      <c r="M84" s="1433">
        <f>SUM(F84:L84)</f>
        <v>279278</v>
      </c>
      <c r="N84" s="3517"/>
    </row>
    <row r="85" spans="1:15" ht="12.75" thickBot="1">
      <c r="A85" s="825"/>
      <c r="B85" s="1192" t="s">
        <v>9</v>
      </c>
      <c r="C85" s="242"/>
      <c r="D85" s="243"/>
      <c r="E85" s="243"/>
      <c r="F85" s="243"/>
      <c r="G85" s="436"/>
      <c r="H85" s="436"/>
      <c r="I85" s="436"/>
      <c r="J85" s="436"/>
      <c r="K85" s="436"/>
      <c r="L85" s="436"/>
      <c r="M85" s="170">
        <f>SUM(F85:I85)</f>
        <v>0</v>
      </c>
      <c r="N85" s="3517"/>
    </row>
    <row r="86" spans="1:15" ht="15.75" customHeight="1">
      <c r="A86" s="437"/>
      <c r="B86" s="201" t="s">
        <v>10</v>
      </c>
      <c r="C86" s="202"/>
      <c r="D86" s="174">
        <f>+D87</f>
        <v>303580</v>
      </c>
      <c r="E86" s="174">
        <v>24302</v>
      </c>
      <c r="F86" s="174">
        <f t="shared" ref="F86:L87" si="55">+F87</f>
        <v>60855</v>
      </c>
      <c r="G86" s="174">
        <f t="shared" si="55"/>
        <v>192856</v>
      </c>
      <c r="H86" s="174">
        <f t="shared" si="55"/>
        <v>25567</v>
      </c>
      <c r="I86" s="174">
        <f t="shared" si="55"/>
        <v>0</v>
      </c>
      <c r="J86" s="174">
        <f t="shared" si="55"/>
        <v>0</v>
      </c>
      <c r="K86" s="174">
        <f t="shared" si="55"/>
        <v>0</v>
      </c>
      <c r="L86" s="174">
        <f t="shared" si="55"/>
        <v>0</v>
      </c>
      <c r="M86" s="438">
        <f>+M87</f>
        <v>279278</v>
      </c>
      <c r="N86" s="3517"/>
    </row>
    <row r="87" spans="1:15" ht="15" customHeight="1">
      <c r="A87" s="221"/>
      <c r="B87" s="175" t="s">
        <v>11</v>
      </c>
      <c r="C87" s="3519" t="s">
        <v>61</v>
      </c>
      <c r="D87" s="778">
        <f>+D88+D89</f>
        <v>303580</v>
      </c>
      <c r="E87" s="778">
        <v>24302</v>
      </c>
      <c r="F87" s="778">
        <f t="shared" si="55"/>
        <v>60855</v>
      </c>
      <c r="G87" s="778">
        <f t="shared" si="55"/>
        <v>192856</v>
      </c>
      <c r="H87" s="778">
        <f t="shared" si="55"/>
        <v>25567</v>
      </c>
      <c r="I87" s="778">
        <f t="shared" si="55"/>
        <v>0</v>
      </c>
      <c r="J87" s="778">
        <f t="shared" si="55"/>
        <v>0</v>
      </c>
      <c r="K87" s="778">
        <f t="shared" si="55"/>
        <v>0</v>
      </c>
      <c r="L87" s="778">
        <f t="shared" si="55"/>
        <v>0</v>
      </c>
      <c r="M87" s="779">
        <f>+M88+M89</f>
        <v>279278</v>
      </c>
      <c r="N87" s="3517"/>
    </row>
    <row r="88" spans="1:15" ht="15" customHeight="1">
      <c r="A88" s="1141"/>
      <c r="B88" s="178" t="s">
        <v>12</v>
      </c>
      <c r="C88" s="3520"/>
      <c r="D88" s="780">
        <f>+D96+D103+D107+D100</f>
        <v>303580</v>
      </c>
      <c r="E88" s="780">
        <v>24302</v>
      </c>
      <c r="F88" s="780">
        <f t="shared" ref="F88:L88" si="56">+F96+F103+F107+F100</f>
        <v>60855</v>
      </c>
      <c r="G88" s="780">
        <f t="shared" si="56"/>
        <v>192856</v>
      </c>
      <c r="H88" s="780">
        <f t="shared" si="56"/>
        <v>25567</v>
      </c>
      <c r="I88" s="780">
        <f t="shared" si="56"/>
        <v>0</v>
      </c>
      <c r="J88" s="780">
        <f t="shared" si="56"/>
        <v>0</v>
      </c>
      <c r="K88" s="780">
        <f t="shared" si="56"/>
        <v>0</v>
      </c>
      <c r="L88" s="780">
        <f t="shared" si="56"/>
        <v>0</v>
      </c>
      <c r="M88" s="736">
        <f>SUM(F88:L88)</f>
        <v>279278</v>
      </c>
      <c r="N88" s="3517"/>
    </row>
    <row r="89" spans="1:15" ht="12">
      <c r="A89" s="1141"/>
      <c r="B89" s="178" t="s">
        <v>14</v>
      </c>
      <c r="C89" s="3722"/>
      <c r="D89" s="780">
        <f>+D108</f>
        <v>0</v>
      </c>
      <c r="E89" s="1983">
        <v>0</v>
      </c>
      <c r="F89" s="780">
        <f t="shared" ref="F89:I89" si="57">+F108</f>
        <v>0</v>
      </c>
      <c r="G89" s="780">
        <f t="shared" si="57"/>
        <v>0</v>
      </c>
      <c r="H89" s="780">
        <f t="shared" si="57"/>
        <v>0</v>
      </c>
      <c r="I89" s="780">
        <f t="shared" si="57"/>
        <v>0</v>
      </c>
      <c r="J89" s="780"/>
      <c r="K89" s="780"/>
      <c r="L89" s="780"/>
      <c r="M89" s="651">
        <f>SUM(F89:L89)</f>
        <v>0</v>
      </c>
      <c r="N89" s="3517"/>
    </row>
    <row r="90" spans="1:15" ht="12" customHeight="1">
      <c r="A90" s="437"/>
      <c r="B90" s="91" t="s">
        <v>22</v>
      </c>
      <c r="C90" s="101"/>
      <c r="D90" s="220">
        <f>+D91</f>
        <v>0</v>
      </c>
      <c r="E90" s="1984">
        <v>0</v>
      </c>
      <c r="F90" s="220">
        <f t="shared" ref="F90:I91" si="58">+F91</f>
        <v>0</v>
      </c>
      <c r="G90" s="220">
        <f t="shared" si="58"/>
        <v>0</v>
      </c>
      <c r="H90" s="220">
        <f t="shared" si="58"/>
        <v>0</v>
      </c>
      <c r="I90" s="220">
        <f t="shared" si="58"/>
        <v>0</v>
      </c>
      <c r="J90" s="220"/>
      <c r="K90" s="220"/>
      <c r="L90" s="220"/>
      <c r="M90" s="3455" t="s">
        <v>61</v>
      </c>
      <c r="N90" s="3517"/>
    </row>
    <row r="91" spans="1:15" ht="12" customHeight="1">
      <c r="A91" s="437"/>
      <c r="B91" s="175" t="s">
        <v>11</v>
      </c>
      <c r="C91" s="3519" t="s">
        <v>61</v>
      </c>
      <c r="D91" s="778">
        <f>+D92</f>
        <v>0</v>
      </c>
      <c r="E91" s="1982">
        <v>0</v>
      </c>
      <c r="F91" s="778">
        <f t="shared" si="58"/>
        <v>0</v>
      </c>
      <c r="G91" s="778">
        <f t="shared" si="58"/>
        <v>0</v>
      </c>
      <c r="H91" s="778">
        <f t="shared" si="58"/>
        <v>0</v>
      </c>
      <c r="I91" s="778">
        <f t="shared" si="58"/>
        <v>0</v>
      </c>
      <c r="J91" s="778"/>
      <c r="K91" s="778"/>
      <c r="L91" s="778"/>
      <c r="M91" s="3456"/>
      <c r="N91" s="3517"/>
    </row>
    <row r="92" spans="1:15" ht="12.75" customHeight="1" thickBot="1">
      <c r="A92" s="1141"/>
      <c r="B92" s="178" t="s">
        <v>14</v>
      </c>
      <c r="C92" s="3520"/>
      <c r="D92" s="780">
        <f>+D111</f>
        <v>0</v>
      </c>
      <c r="E92" s="1983">
        <v>0</v>
      </c>
      <c r="F92" s="780">
        <f t="shared" ref="F92:I92" si="59">+F111</f>
        <v>0</v>
      </c>
      <c r="G92" s="780">
        <f t="shared" si="59"/>
        <v>0</v>
      </c>
      <c r="H92" s="780">
        <f t="shared" si="59"/>
        <v>0</v>
      </c>
      <c r="I92" s="780">
        <f t="shared" si="59"/>
        <v>0</v>
      </c>
      <c r="J92" s="444"/>
      <c r="K92" s="444"/>
      <c r="L92" s="444"/>
      <c r="M92" s="3457"/>
      <c r="N92" s="3518"/>
    </row>
    <row r="93" spans="1:15" ht="18" customHeight="1">
      <c r="A93" s="3439" t="s">
        <v>63</v>
      </c>
      <c r="B93" s="445" t="s">
        <v>327</v>
      </c>
      <c r="C93" s="763" t="s">
        <v>111</v>
      </c>
      <c r="D93" s="1193"/>
      <c r="E93" s="1985"/>
      <c r="F93" s="1194"/>
      <c r="G93" s="1194"/>
      <c r="H93" s="1194"/>
      <c r="I93" s="1194"/>
      <c r="J93" s="1194"/>
      <c r="K93" s="1194"/>
      <c r="L93" s="1194"/>
      <c r="M93" s="399"/>
      <c r="N93" s="3719" t="s">
        <v>376</v>
      </c>
    </row>
    <row r="94" spans="1:15" ht="17.25" customHeight="1">
      <c r="A94" s="3440"/>
      <c r="B94" s="91" t="s">
        <v>10</v>
      </c>
      <c r="C94" s="1195"/>
      <c r="D94" s="634">
        <f>+D95</f>
        <v>103580</v>
      </c>
      <c r="E94" s="634">
        <f t="shared" ref="E94:M95" si="60">+E95</f>
        <v>24302</v>
      </c>
      <c r="F94" s="634">
        <f t="shared" si="60"/>
        <v>26855</v>
      </c>
      <c r="G94" s="634">
        <f t="shared" si="60"/>
        <v>26856</v>
      </c>
      <c r="H94" s="634">
        <f t="shared" si="60"/>
        <v>25567</v>
      </c>
      <c r="I94" s="781">
        <v>0</v>
      </c>
      <c r="J94" s="781">
        <v>0</v>
      </c>
      <c r="K94" s="781">
        <v>0</v>
      </c>
      <c r="L94" s="781">
        <v>0</v>
      </c>
      <c r="M94" s="782">
        <f t="shared" si="60"/>
        <v>79278</v>
      </c>
      <c r="N94" s="3720"/>
    </row>
    <row r="95" spans="1:15" ht="15.75" customHeight="1">
      <c r="A95" s="3440"/>
      <c r="B95" s="783" t="s">
        <v>24</v>
      </c>
      <c r="C95" s="3526" t="s">
        <v>301</v>
      </c>
      <c r="D95" s="784">
        <f>+D96</f>
        <v>103580</v>
      </c>
      <c r="E95" s="784">
        <f t="shared" si="60"/>
        <v>24302</v>
      </c>
      <c r="F95" s="784">
        <f t="shared" si="60"/>
        <v>26855</v>
      </c>
      <c r="G95" s="784">
        <f t="shared" si="60"/>
        <v>26856</v>
      </c>
      <c r="H95" s="784">
        <f t="shared" si="60"/>
        <v>25567</v>
      </c>
      <c r="I95" s="785">
        <v>0</v>
      </c>
      <c r="J95" s="785">
        <v>0</v>
      </c>
      <c r="K95" s="785">
        <v>0</v>
      </c>
      <c r="L95" s="785">
        <v>0</v>
      </c>
      <c r="M95" s="786">
        <f t="shared" si="60"/>
        <v>79278</v>
      </c>
      <c r="N95" s="3720"/>
    </row>
    <row r="96" spans="1:15" ht="15" customHeight="1" thickBot="1">
      <c r="A96" s="3483"/>
      <c r="B96" s="787" t="s">
        <v>12</v>
      </c>
      <c r="C96" s="3381"/>
      <c r="D96" s="2205">
        <f>E96+F96+G96+H96+I96+J96+K96+L96</f>
        <v>103580</v>
      </c>
      <c r="E96" s="321">
        <v>24302</v>
      </c>
      <c r="F96" s="700">
        <v>26855</v>
      </c>
      <c r="G96" s="700">
        <v>26856</v>
      </c>
      <c r="H96" s="700">
        <v>25567</v>
      </c>
      <c r="I96" s="789">
        <v>0</v>
      </c>
      <c r="J96" s="789">
        <v>0</v>
      </c>
      <c r="K96" s="789">
        <v>0</v>
      </c>
      <c r="L96" s="789">
        <v>0</v>
      </c>
      <c r="M96" s="736">
        <f>SUM(F96:L96)</f>
        <v>79278</v>
      </c>
      <c r="N96" s="3721"/>
    </row>
    <row r="97" spans="1:14" ht="25.5" customHeight="1">
      <c r="A97" s="3439" t="s">
        <v>64</v>
      </c>
      <c r="B97" s="445" t="s">
        <v>487</v>
      </c>
      <c r="C97" s="763" t="s">
        <v>111</v>
      </c>
      <c r="D97" s="1193"/>
      <c r="E97" s="1985"/>
      <c r="F97" s="1194"/>
      <c r="G97" s="1194"/>
      <c r="H97" s="1194"/>
      <c r="I97" s="1194"/>
      <c r="J97" s="1194"/>
      <c r="K97" s="1194"/>
      <c r="L97" s="1194"/>
      <c r="M97" s="399"/>
      <c r="N97" s="3719" t="s">
        <v>368</v>
      </c>
    </row>
    <row r="98" spans="1:14" ht="17.25" customHeight="1">
      <c r="A98" s="3440"/>
      <c r="B98" s="91" t="s">
        <v>10</v>
      </c>
      <c r="C98" s="1195"/>
      <c r="D98" s="634">
        <f>+D99</f>
        <v>200000</v>
      </c>
      <c r="E98" s="634">
        <f t="shared" ref="E98:M99" si="61">+E99</f>
        <v>0</v>
      </c>
      <c r="F98" s="634">
        <f t="shared" si="61"/>
        <v>34000</v>
      </c>
      <c r="G98" s="634">
        <f t="shared" si="61"/>
        <v>166000</v>
      </c>
      <c r="H98" s="634">
        <f t="shared" si="61"/>
        <v>0</v>
      </c>
      <c r="I98" s="781">
        <v>0</v>
      </c>
      <c r="J98" s="781">
        <v>0</v>
      </c>
      <c r="K98" s="781">
        <v>0</v>
      </c>
      <c r="L98" s="1957">
        <v>0</v>
      </c>
      <c r="M98" s="2203">
        <f t="shared" si="61"/>
        <v>200000</v>
      </c>
      <c r="N98" s="3720"/>
    </row>
    <row r="99" spans="1:14" ht="15.75" customHeight="1">
      <c r="A99" s="3440"/>
      <c r="B99" s="783" t="s">
        <v>24</v>
      </c>
      <c r="C99" s="3526" t="s">
        <v>486</v>
      </c>
      <c r="D99" s="2800">
        <f>+D100</f>
        <v>200000</v>
      </c>
      <c r="E99" s="2800">
        <f t="shared" si="61"/>
        <v>0</v>
      </c>
      <c r="F99" s="2800">
        <f t="shared" si="61"/>
        <v>34000</v>
      </c>
      <c r="G99" s="2800">
        <f t="shared" si="61"/>
        <v>166000</v>
      </c>
      <c r="H99" s="2800">
        <f t="shared" si="61"/>
        <v>0</v>
      </c>
      <c r="I99" s="2493">
        <v>0</v>
      </c>
      <c r="J99" s="2493">
        <v>0</v>
      </c>
      <c r="K99" s="2493">
        <v>0</v>
      </c>
      <c r="L99" s="2442">
        <v>0</v>
      </c>
      <c r="M99" s="2720">
        <f t="shared" si="61"/>
        <v>200000</v>
      </c>
      <c r="N99" s="3720"/>
    </row>
    <row r="100" spans="1:14" ht="15" customHeight="1" thickBot="1">
      <c r="A100" s="3483"/>
      <c r="B100" s="787" t="s">
        <v>12</v>
      </c>
      <c r="C100" s="3381"/>
      <c r="D100" s="1336">
        <f>E100+F100+G100+H100+I100+J100+K100+L100</f>
        <v>200000</v>
      </c>
      <c r="E100" s="1336">
        <v>0</v>
      </c>
      <c r="F100" s="700">
        <v>34000</v>
      </c>
      <c r="G100" s="700">
        <v>166000</v>
      </c>
      <c r="H100" s="700"/>
      <c r="I100" s="789">
        <v>0</v>
      </c>
      <c r="J100" s="789">
        <v>0</v>
      </c>
      <c r="K100" s="789">
        <v>0</v>
      </c>
      <c r="L100" s="789">
        <v>0</v>
      </c>
      <c r="M100" s="1399">
        <f>SUM(F100:L100)</f>
        <v>200000</v>
      </c>
      <c r="N100" s="3721"/>
    </row>
    <row r="101" spans="1:14" ht="30" customHeight="1">
      <c r="A101" s="3704"/>
      <c r="B101" s="3704"/>
      <c r="C101" s="3704"/>
      <c r="D101" s="3704"/>
      <c r="E101" s="3704"/>
      <c r="F101" s="3704"/>
      <c r="G101" s="3704"/>
      <c r="H101" s="3704"/>
      <c r="I101" s="3704"/>
      <c r="J101" s="3704"/>
      <c r="K101" s="3704"/>
      <c r="L101" s="3704"/>
      <c r="M101" s="3704"/>
      <c r="N101" s="3704"/>
    </row>
    <row r="103" spans="1:14" ht="12.75" hidden="1">
      <c r="B103" s="2005" t="s">
        <v>493</v>
      </c>
      <c r="C103" s="2131"/>
      <c r="D103" s="2131"/>
      <c r="E103" s="2131"/>
      <c r="F103" s="2131"/>
      <c r="G103" s="2131"/>
      <c r="H103" s="2131"/>
      <c r="I103" s="2131"/>
      <c r="J103" s="2131"/>
      <c r="K103" s="2131"/>
      <c r="L103" s="2131"/>
    </row>
    <row r="104" spans="1:14" ht="12.75" hidden="1">
      <c r="B104" s="2132" t="s">
        <v>494</v>
      </c>
      <c r="C104" s="2131"/>
      <c r="D104" s="2133">
        <f t="shared" ref="D104:L104" si="62">D30+D39+D66</f>
        <v>1968202</v>
      </c>
      <c r="E104" s="2133">
        <f t="shared" si="62"/>
        <v>0</v>
      </c>
      <c r="F104" s="2133">
        <f t="shared" si="62"/>
        <v>406577</v>
      </c>
      <c r="G104" s="2133">
        <f t="shared" si="62"/>
        <v>711705</v>
      </c>
      <c r="H104" s="2133">
        <f t="shared" si="62"/>
        <v>619162</v>
      </c>
      <c r="I104" s="2133">
        <f t="shared" si="62"/>
        <v>131448</v>
      </c>
      <c r="J104" s="2133">
        <f t="shared" si="62"/>
        <v>99310</v>
      </c>
      <c r="K104" s="2133">
        <f t="shared" si="62"/>
        <v>0</v>
      </c>
      <c r="L104" s="2133">
        <f t="shared" si="62"/>
        <v>0</v>
      </c>
    </row>
    <row r="105" spans="1:14" ht="12.75" hidden="1">
      <c r="B105" s="2132" t="s">
        <v>495</v>
      </c>
      <c r="C105" s="2131"/>
      <c r="D105" s="2133">
        <f>D77</f>
        <v>7561</v>
      </c>
      <c r="E105" s="2133">
        <v>0</v>
      </c>
      <c r="F105" s="2133">
        <f>F77</f>
        <v>0</v>
      </c>
      <c r="G105" s="2133">
        <f>G77</f>
        <v>7561</v>
      </c>
      <c r="H105" s="2133">
        <f t="shared" ref="H105:L105" si="63">H77</f>
        <v>0</v>
      </c>
      <c r="I105" s="2133">
        <f t="shared" si="63"/>
        <v>0</v>
      </c>
      <c r="J105" s="2133">
        <f t="shared" si="63"/>
        <v>0</v>
      </c>
      <c r="K105" s="2133">
        <f t="shared" si="63"/>
        <v>0</v>
      </c>
      <c r="L105" s="2133">
        <f t="shared" si="63"/>
        <v>0</v>
      </c>
    </row>
    <row r="106" spans="1:14" ht="12.75" hidden="1">
      <c r="B106" s="2132" t="s">
        <v>496</v>
      </c>
      <c r="C106" s="2131"/>
      <c r="D106" s="2003">
        <f>D104+D105</f>
        <v>1975763</v>
      </c>
      <c r="E106" s="2003">
        <f>E104+E105</f>
        <v>0</v>
      </c>
      <c r="F106" s="2003">
        <f t="shared" ref="F106:L106" si="64">F104+F105</f>
        <v>406577</v>
      </c>
      <c r="G106" s="2003">
        <f t="shared" si="64"/>
        <v>719266</v>
      </c>
      <c r="H106" s="2003">
        <f t="shared" si="64"/>
        <v>619162</v>
      </c>
      <c r="I106" s="2003">
        <f t="shared" si="64"/>
        <v>131448</v>
      </c>
      <c r="J106" s="2003">
        <f t="shared" si="64"/>
        <v>99310</v>
      </c>
      <c r="K106" s="2003">
        <f t="shared" si="64"/>
        <v>0</v>
      </c>
      <c r="L106" s="2003">
        <f t="shared" si="64"/>
        <v>0</v>
      </c>
    </row>
    <row r="107" spans="1:14" ht="12.75" hidden="1">
      <c r="B107" s="1999" t="s">
        <v>42</v>
      </c>
      <c r="C107" s="2001"/>
      <c r="D107" s="2004">
        <f t="shared" ref="D107:L107" si="65">D106-D18</f>
        <v>0</v>
      </c>
      <c r="E107" s="2004">
        <f t="shared" si="65"/>
        <v>0</v>
      </c>
      <c r="F107" s="2004">
        <f t="shared" si="65"/>
        <v>0</v>
      </c>
      <c r="G107" s="2004">
        <f t="shared" si="65"/>
        <v>0</v>
      </c>
      <c r="H107" s="2004">
        <f t="shared" si="65"/>
        <v>0</v>
      </c>
      <c r="I107" s="2004">
        <f t="shared" si="65"/>
        <v>0</v>
      </c>
      <c r="J107" s="2004">
        <f t="shared" si="65"/>
        <v>0</v>
      </c>
      <c r="K107" s="2004">
        <f t="shared" si="65"/>
        <v>0</v>
      </c>
      <c r="L107" s="2004">
        <f t="shared" si="65"/>
        <v>0</v>
      </c>
    </row>
  </sheetData>
  <mergeCells count="45">
    <mergeCell ref="A97:A100"/>
    <mergeCell ref="N97:N100"/>
    <mergeCell ref="C99:C100"/>
    <mergeCell ref="M18:M23"/>
    <mergeCell ref="A53:A70"/>
    <mergeCell ref="A42:A52"/>
    <mergeCell ref="N42:N52"/>
    <mergeCell ref="C44:C47"/>
    <mergeCell ref="C51:C52"/>
    <mergeCell ref="M48:M52"/>
    <mergeCell ref="M66:M70"/>
    <mergeCell ref="C55:C62"/>
    <mergeCell ref="C67:C70"/>
    <mergeCell ref="N53:N70"/>
    <mergeCell ref="A33:A41"/>
    <mergeCell ref="N33:N41"/>
    <mergeCell ref="M39:M41"/>
    <mergeCell ref="A93:A96"/>
    <mergeCell ref="N93:N96"/>
    <mergeCell ref="C95:C96"/>
    <mergeCell ref="N83:N92"/>
    <mergeCell ref="C87:C89"/>
    <mergeCell ref="M90:M92"/>
    <mergeCell ref="C91:C92"/>
    <mergeCell ref="A71:A81"/>
    <mergeCell ref="N71:N81"/>
    <mergeCell ref="M77:M81"/>
    <mergeCell ref="C73:C76"/>
    <mergeCell ref="C78:C81"/>
    <mergeCell ref="A101:L101"/>
    <mergeCell ref="M101:N101"/>
    <mergeCell ref="A4:N4"/>
    <mergeCell ref="B5:B6"/>
    <mergeCell ref="C5:C6"/>
    <mergeCell ref="D5:D6"/>
    <mergeCell ref="N5:N6"/>
    <mergeCell ref="M5:M6"/>
    <mergeCell ref="F5:L5"/>
    <mergeCell ref="A24:A32"/>
    <mergeCell ref="N24:N32"/>
    <mergeCell ref="C26:C29"/>
    <mergeCell ref="C31:C32"/>
    <mergeCell ref="M30:M32"/>
    <mergeCell ref="C35:C38"/>
    <mergeCell ref="C40:C41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61" firstPageNumber="52" orientation="landscape" useFirstPageNumber="1" r:id="rId1"/>
  <headerFooter>
    <oddHeader>&amp;C&amp;"Arial,Kursywa"Wieloletnia prognoza finansowa Województwa Zachodniopomorskiego na lata 2017-2044&amp;"Arial,Normalny"
____________________________________________________________________________________________________________________</oddHeader>
    <oddFooter>&amp;C&amp;9&amp;P</oddFooter>
  </headerFooter>
  <rowBreaks count="1" manualBreakCount="1">
    <brk id="70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P1010"/>
  <sheetViews>
    <sheetView zoomScaleNormal="100" zoomScaleSheetLayoutView="90" workbookViewId="0">
      <selection activeCell="C46" sqref="C46:C50"/>
    </sheetView>
  </sheetViews>
  <sheetFormatPr defaultColWidth="9.140625" defaultRowHeight="12.75" outlineLevelCol="1"/>
  <cols>
    <col min="1" max="1" width="13.28515625" style="2156" customWidth="1"/>
    <col min="2" max="2" width="35.85546875" style="1512" customWidth="1"/>
    <col min="3" max="3" width="14.7109375" style="2157" customWidth="1"/>
    <col min="4" max="10" width="12.7109375" style="1513" customWidth="1"/>
    <col min="11" max="11" width="14" style="1512" customWidth="1"/>
    <col min="12" max="12" width="14.42578125" style="1512" customWidth="1"/>
    <col min="13" max="13" width="14.85546875" style="2134" hidden="1" customWidth="1"/>
    <col min="14" max="14" width="11.85546875" style="1515" hidden="1" customWidth="1" outlineLevel="1"/>
    <col min="15" max="15" width="13.28515625" style="1515" hidden="1" customWidth="1" outlineLevel="1"/>
    <col min="16" max="16" width="20.140625" style="1512" hidden="1" customWidth="1" collapsed="1"/>
    <col min="17" max="18" width="9.140625" style="1512"/>
    <col min="19" max="19" width="9.7109375" style="1512" bestFit="1" customWidth="1"/>
    <col min="20" max="16384" width="9.140625" style="1512"/>
  </cols>
  <sheetData>
    <row r="1" spans="1:16" ht="68.25" customHeight="1">
      <c r="A1" s="3756" t="s">
        <v>196</v>
      </c>
      <c r="B1" s="3756"/>
      <c r="C1" s="3756"/>
      <c r="D1" s="3756"/>
      <c r="E1" s="3756"/>
      <c r="F1" s="3756"/>
      <c r="G1" s="3756"/>
      <c r="H1" s="3756"/>
      <c r="I1" s="3756"/>
      <c r="J1" s="3756"/>
      <c r="K1" s="3756"/>
      <c r="L1" s="3757"/>
    </row>
    <row r="2" spans="1:16" ht="15.75" customHeight="1" thickBot="1">
      <c r="A2" s="2838"/>
      <c r="B2" s="2838"/>
      <c r="C2" s="2838"/>
      <c r="D2" s="2838"/>
      <c r="E2" s="2838"/>
      <c r="F2" s="2838"/>
      <c r="G2" s="2838"/>
      <c r="H2" s="2838"/>
      <c r="I2" s="2838"/>
      <c r="J2" s="2838"/>
      <c r="K2" s="2838"/>
      <c r="L2" s="2839"/>
    </row>
    <row r="3" spans="1:16" ht="34.5" customHeight="1">
      <c r="A3" s="3758" t="s">
        <v>4</v>
      </c>
      <c r="B3" s="3759"/>
      <c r="C3" s="3768" t="s">
        <v>295</v>
      </c>
      <c r="D3" s="3770" t="s">
        <v>415</v>
      </c>
      <c r="E3" s="3083"/>
      <c r="F3" s="3083"/>
      <c r="G3" s="3083"/>
      <c r="H3" s="3083"/>
      <c r="I3" s="3083"/>
      <c r="J3" s="3084"/>
      <c r="K3" s="3764" t="s">
        <v>3</v>
      </c>
      <c r="L3" s="3078" t="s">
        <v>413</v>
      </c>
    </row>
    <row r="4" spans="1:16" ht="19.5" customHeight="1">
      <c r="A4" s="3760"/>
      <c r="B4" s="3761"/>
      <c r="C4" s="3769"/>
      <c r="D4" s="3771"/>
      <c r="E4" s="3085"/>
      <c r="F4" s="3085"/>
      <c r="G4" s="3085"/>
      <c r="H4" s="3085"/>
      <c r="I4" s="3085"/>
      <c r="J4" s="3086"/>
      <c r="K4" s="3765"/>
      <c r="L4" s="3079"/>
    </row>
    <row r="5" spans="1:16" ht="18.75" customHeight="1" thickBot="1">
      <c r="A5" s="3762"/>
      <c r="B5" s="3763"/>
      <c r="C5" s="2135" t="s">
        <v>557</v>
      </c>
      <c r="D5" s="1523" t="s">
        <v>5</v>
      </c>
      <c r="E5" s="1523" t="s">
        <v>6</v>
      </c>
      <c r="F5" s="1523" t="s">
        <v>229</v>
      </c>
      <c r="G5" s="1523" t="s">
        <v>231</v>
      </c>
      <c r="H5" s="1523" t="s">
        <v>286</v>
      </c>
      <c r="I5" s="1523" t="s">
        <v>287</v>
      </c>
      <c r="J5" s="1523" t="s">
        <v>285</v>
      </c>
      <c r="K5" s="3765"/>
      <c r="L5" s="3079"/>
    </row>
    <row r="6" spans="1:16" s="1540" customFormat="1" ht="14.25" customHeight="1" thickBot="1">
      <c r="A6" s="3766">
        <v>1</v>
      </c>
      <c r="B6" s="3767"/>
      <c r="C6" s="2136">
        <v>2</v>
      </c>
      <c r="D6" s="2137">
        <v>3</v>
      </c>
      <c r="E6" s="2137">
        <v>4</v>
      </c>
      <c r="F6" s="2137">
        <v>5</v>
      </c>
      <c r="G6" s="2137">
        <v>6</v>
      </c>
      <c r="H6" s="2137">
        <v>7</v>
      </c>
      <c r="I6" s="2137">
        <v>8</v>
      </c>
      <c r="J6" s="2137">
        <v>9</v>
      </c>
      <c r="K6" s="2137">
        <v>10</v>
      </c>
      <c r="L6" s="2138">
        <v>11</v>
      </c>
      <c r="M6" s="2139"/>
      <c r="N6" s="262"/>
      <c r="O6" s="262"/>
    </row>
    <row r="7" spans="1:16" s="1554" customFormat="1" ht="24.75" customHeight="1" thickBot="1">
      <c r="A7" s="3754" t="s">
        <v>197</v>
      </c>
      <c r="B7" s="3755"/>
      <c r="C7" s="2140">
        <f>'Tab. 6A -Drogi'!E35+'Tab. 6B Polit społ i rozwój prz'!E51+'Tab. 6B Polit społ i rozwój prz'!E211+'Tab. 6B Polit społ i rozwój prz'!E223+'Tab. 6E - Administracja'!E114-'Tab. 6E - Administracja'!E122+'Tab. 6E - Administracja'!E139-'Tab. 6E - Administracja'!E141+'Tab. 6E - Administracja'!E158++'Tab. 6H - Kultura fiz. i turyst'!E99+'Tab. 6H - Kultura fiz. i turyst'!E108+'Tab. 6H - Kultura fiz. i turyst'!E126+'Tab. 6H - Kultura fiz. i turyst'!E135+'Tab. 6H - Kultura fiz. i turyst'!E144+'Tab. 6H - Kultura fiz. i turyst'!E153+'Tab. 6H - Kultura fiz. i turyst'!E200+'Tab. 6H - Kultura fiz. i turyst'!E209+'Tab. 6B Polit społ i rozwój prz'!E235+'Tab. 6B Polit społ i rozwój prz'!E248+'Tab. 6B Polit społ i rozwój prz'!E260+'Tab. 6H - Kultura fiz. i turyst'!E117</f>
        <v>227425672</v>
      </c>
      <c r="D7" s="2140">
        <f>'Tab. 6A -Drogi'!F35+'Tab. 6B Polit społ i rozwój prz'!F51+'Tab. 6B Polit społ i rozwój prz'!F211+'Tab. 6B Polit społ i rozwój prz'!F223+'Tab. 6E - Administracja'!F114-'Tab. 6E - Administracja'!F122+'Tab. 6E - Administracja'!F139-'Tab. 6E - Administracja'!F141+'Tab. 6E - Administracja'!F158++'Tab. 6H - Kultura fiz. i turyst'!F99+'Tab. 6H - Kultura fiz. i turyst'!F108+'Tab. 6H - Kultura fiz. i turyst'!F126+'Tab. 6H - Kultura fiz. i turyst'!F135+'Tab. 6H - Kultura fiz. i turyst'!F144+'Tab. 6H - Kultura fiz. i turyst'!F153+'Tab. 6H - Kultura fiz. i turyst'!F200+'Tab. 6H - Kultura fiz. i turyst'!F209+'Tab. 6B Polit społ i rozwój prz'!F235+'Tab. 6B Polit społ i rozwój prz'!F248+'Tab. 6B Polit społ i rozwój prz'!F260+'Tab. 6H - Kultura fiz. i turyst'!F117</f>
        <v>297048115</v>
      </c>
      <c r="E7" s="2140">
        <f>'Tab. 6A -Drogi'!G35+'Tab. 6B Polit społ i rozwój prz'!G51+'Tab. 6B Polit społ i rozwój prz'!G211+'Tab. 6B Polit społ i rozwój prz'!G223+'Tab. 6E - Administracja'!G114-'Tab. 6E - Administracja'!G122+'Tab. 6E - Administracja'!G139-'Tab. 6E - Administracja'!G141+'Tab. 6E - Administracja'!G158++'Tab. 6H - Kultura fiz. i turyst'!G99+'Tab. 6H - Kultura fiz. i turyst'!G108+'Tab. 6H - Kultura fiz. i turyst'!G126+'Tab. 6H - Kultura fiz. i turyst'!G135+'Tab. 6H - Kultura fiz. i turyst'!G144+'Tab. 6H - Kultura fiz. i turyst'!G153+'Tab. 6H - Kultura fiz. i turyst'!G200+'Tab. 6H - Kultura fiz. i turyst'!G209+'Tab. 6B Polit społ i rozwój prz'!G235+'Tab. 6B Polit społ i rozwój prz'!G248+'Tab. 6B Polit społ i rozwój prz'!G260+'Tab. 6H - Kultura fiz. i turyst'!G117</f>
        <v>484032235</v>
      </c>
      <c r="F7" s="2140">
        <f>'Tab. 6A -Drogi'!H35+'Tab. 6B Polit społ i rozwój prz'!H51+'Tab. 6B Polit społ i rozwój prz'!H211+'Tab. 6B Polit społ i rozwój prz'!H223+'Tab. 6E - Administracja'!H114-'Tab. 6E - Administracja'!H122+'Tab. 6E - Administracja'!H139-'Tab. 6E - Administracja'!H141+'Tab. 6E - Administracja'!H158++'Tab. 6H - Kultura fiz. i turyst'!H99+'Tab. 6H - Kultura fiz. i turyst'!H108+'Tab. 6H - Kultura fiz. i turyst'!H126+'Tab. 6H - Kultura fiz. i turyst'!H135+'Tab. 6H - Kultura fiz. i turyst'!H144+'Tab. 6H - Kultura fiz. i turyst'!H153+'Tab. 6H - Kultura fiz. i turyst'!H200+'Tab. 6H - Kultura fiz. i turyst'!H209+'Tab. 6B Polit społ i rozwój prz'!H235+'Tab. 6B Polit społ i rozwój prz'!H248+'Tab. 6B Polit społ i rozwój prz'!H260+'Tab. 6H - Kultura fiz. i turyst'!H117</f>
        <v>100055029</v>
      </c>
      <c r="G7" s="2140">
        <f>'Tab. 6A -Drogi'!I35+'Tab. 6B Polit społ i rozwój prz'!I51+'Tab. 6B Polit społ i rozwój prz'!I211+'Tab. 6B Polit społ i rozwój prz'!I223+'Tab. 6E - Administracja'!I114-'Tab. 6E - Administracja'!I122+'Tab. 6E - Administracja'!I139-'Tab. 6E - Administracja'!I141+'Tab. 6E - Administracja'!I158++'Tab. 6H - Kultura fiz. i turyst'!I99+'Tab. 6H - Kultura fiz. i turyst'!I108+'Tab. 6H - Kultura fiz. i turyst'!I126+'Tab. 6H - Kultura fiz. i turyst'!I135+'Tab. 6H - Kultura fiz. i turyst'!I144+'Tab. 6H - Kultura fiz. i turyst'!I153+'Tab. 6H - Kultura fiz. i turyst'!I200+'Tab. 6H - Kultura fiz. i turyst'!I209+'Tab. 6B Polit społ i rozwój prz'!I235+'Tab. 6B Polit społ i rozwój prz'!I248+'Tab. 6B Polit społ i rozwój prz'!I260+'Tab. 6H - Kultura fiz. i turyst'!I117</f>
        <v>66109497</v>
      </c>
      <c r="H7" s="2140">
        <f>'Tab. 6A -Drogi'!J35+'Tab. 6B Polit społ i rozwój prz'!J51+'Tab. 6B Polit społ i rozwój prz'!J211+'Tab. 6B Polit społ i rozwój prz'!J223+'Tab. 6E - Administracja'!J114-'Tab. 6E - Administracja'!J122+'Tab. 6E - Administracja'!J139-'Tab. 6E - Administracja'!J141+'Tab. 6E - Administracja'!J158++'Tab. 6H - Kultura fiz. i turyst'!J99+'Tab. 6H - Kultura fiz. i turyst'!J108+'Tab. 6H - Kultura fiz. i turyst'!J126+'Tab. 6H - Kultura fiz. i turyst'!J135+'Tab. 6H - Kultura fiz. i turyst'!J144+'Tab. 6H - Kultura fiz. i turyst'!J153+'Tab. 6H - Kultura fiz. i turyst'!J200+'Tab. 6H - Kultura fiz. i turyst'!J209+'Tab. 6B Polit społ i rozwój prz'!J235+'Tab. 6B Polit społ i rozwój prz'!J248+'Tab. 6B Polit społ i rozwój prz'!J260+'Tab. 6H - Kultura fiz. i turyst'!J117</f>
        <v>36746034</v>
      </c>
      <c r="I7" s="2140">
        <f>'Tab. 6A -Drogi'!K35+'Tab. 6B Polit społ i rozwój prz'!K51+'Tab. 6B Polit społ i rozwój prz'!K211+'Tab. 6B Polit społ i rozwój prz'!K223+'Tab. 6E - Administracja'!K114-'Tab. 6E - Administracja'!K122+'Tab. 6E - Administracja'!K139-'Tab. 6E - Administracja'!K141+'Tab. 6E - Administracja'!K158++'Tab. 6H - Kultura fiz. i turyst'!K99+'Tab. 6H - Kultura fiz. i turyst'!K108+'Tab. 6H - Kultura fiz. i turyst'!K126+'Tab. 6H - Kultura fiz. i turyst'!K135+'Tab. 6H - Kultura fiz. i turyst'!K144+'Tab. 6H - Kultura fiz. i turyst'!K153+'Tab. 6H - Kultura fiz. i turyst'!K200+'Tab. 6H - Kultura fiz. i turyst'!K209+'Tab. 6B Polit społ i rozwój prz'!K235+'Tab. 6B Polit społ i rozwój prz'!K248+'Tab. 6B Polit społ i rozwój prz'!K260+'Tab. 6H - Kultura fiz. i turyst'!K117</f>
        <v>34520644</v>
      </c>
      <c r="J7" s="2140">
        <f>'Tab. 6A -Drogi'!L35+'Tab. 6B Polit społ i rozwój prz'!L51+'Tab. 6B Polit społ i rozwój prz'!L211+'Tab. 6B Polit społ i rozwój prz'!L223+'Tab. 6E - Administracja'!L114-'Tab. 6E - Administracja'!L122+'Tab. 6E - Administracja'!L139-'Tab. 6E - Administracja'!L141+'Tab. 6E - Administracja'!L158++'Tab. 6H - Kultura fiz. i turyst'!L99+'Tab. 6H - Kultura fiz. i turyst'!L108+'Tab. 6H - Kultura fiz. i turyst'!L126+'Tab. 6H - Kultura fiz. i turyst'!L135+'Tab. 6H - Kultura fiz. i turyst'!L144+'Tab. 6H - Kultura fiz. i turyst'!L153+'Tab. 6H - Kultura fiz. i turyst'!L200+'Tab. 6H - Kultura fiz. i turyst'!L209+'Tab. 6B Polit społ i rozwój prz'!L235+'Tab. 6B Polit społ i rozwój prz'!L248+'Tab. 6B Polit społ i rozwój prz'!L260+'Tab. 6H - Kultura fiz. i turyst'!L117</f>
        <v>34116818</v>
      </c>
      <c r="K7" s="2140">
        <f>C7+D7+E7+F7+G7+H7+I7+J7</f>
        <v>1280054044</v>
      </c>
      <c r="L7" s="2141">
        <f>+D7+E7+F7+G7+H7+I7+J7</f>
        <v>1052628372</v>
      </c>
      <c r="M7" s="2142">
        <f>'[1]projekty UE'!$K$7+'[1]projekty UE'!$N$7-C7</f>
        <v>12466748</v>
      </c>
      <c r="N7" s="1585"/>
      <c r="O7" s="1585"/>
    </row>
    <row r="8" spans="1:16" s="1554" customFormat="1" ht="24.75" customHeight="1" thickBot="1">
      <c r="A8" s="3734" t="s">
        <v>198</v>
      </c>
      <c r="B8" s="3735"/>
      <c r="C8" s="2143">
        <f>'Tab. 6A -Drogi'!E43+'Tab. 6B Polit społ i rozwój prz'!E61+'Tab. 6B Polit społ i rozwój prz'!E217+'Tab. 6B Polit społ i rozwój prz'!E229+'Tab. 6E - Administracja'!E135+'Tab. 6E - Administracja'!E154+'Tab. 6E - Administracja'!E167+'Tab. 6H - Kultura fiz. i turyst'!E104+'Tab. 6H - Kultura fiz. i turyst'!E113+'Tab. 6H - Kultura fiz. i turyst'!E131+'Tab. 6H - Kultura fiz. i turyst'!E140+'Tab. 6H - Kultura fiz. i turyst'!E149+'Tab. 6H - Kultura fiz. i turyst'!E159+'Tab. 6H - Kultura fiz. i turyst'!E205+'Tab. 6H - Kultura fiz. i turyst'!E214+'Tab. 6B Polit społ i rozwój prz'!E244+'Tab. 6B Polit społ i rozwój prz'!E256+'Tab. 6B Polit społ i rozwój prz'!E266+'Tab. 6H - Kultura fiz. i turyst'!E122</f>
        <v>194796609</v>
      </c>
      <c r="D8" s="2143">
        <f>'Tab. 6A -Drogi'!F43+'Tab. 6B Polit społ i rozwój prz'!F61+'Tab. 6B Polit społ i rozwój prz'!F217+'Tab. 6B Polit społ i rozwój prz'!F229+'Tab. 6E - Administracja'!F135+'Tab. 6E - Administracja'!F154+'Tab. 6E - Administracja'!F167+'Tab. 6H - Kultura fiz. i turyst'!F104+'Tab. 6H - Kultura fiz. i turyst'!F113+'Tab. 6H - Kultura fiz. i turyst'!F131+'Tab. 6H - Kultura fiz. i turyst'!F140+'Tab. 6H - Kultura fiz. i turyst'!F149+'Tab. 6H - Kultura fiz. i turyst'!F159+'Tab. 6H - Kultura fiz. i turyst'!F205+'Tab. 6H - Kultura fiz. i turyst'!F214+'Tab. 6B Polit społ i rozwój prz'!F244+'Tab. 6B Polit społ i rozwój prz'!F256+'Tab. 6B Polit społ i rozwój prz'!F266+'Tab. 6H - Kultura fiz. i turyst'!F122</f>
        <v>244889101</v>
      </c>
      <c r="E8" s="2143">
        <f>'Tab. 6A -Drogi'!G43+'Tab. 6B Polit społ i rozwój prz'!G61+'Tab. 6B Polit społ i rozwój prz'!G217+'Tab. 6B Polit społ i rozwój prz'!G229+'Tab. 6E - Administracja'!G135+'Tab. 6E - Administracja'!G154+'Tab. 6E - Administracja'!G167+'Tab. 6H - Kultura fiz. i turyst'!G104+'Tab. 6H - Kultura fiz. i turyst'!G113+'Tab. 6H - Kultura fiz. i turyst'!G131+'Tab. 6H - Kultura fiz. i turyst'!G140+'Tab. 6H - Kultura fiz. i turyst'!G149+'Tab. 6H - Kultura fiz. i turyst'!G159+'Tab. 6H - Kultura fiz. i turyst'!G205+'Tab. 6H - Kultura fiz. i turyst'!G214+'Tab. 6B Polit społ i rozwój prz'!G244+'Tab. 6B Polit społ i rozwój prz'!G256+'Tab. 6B Polit społ i rozwój prz'!G266+'Tab. 6H - Kultura fiz. i turyst'!G122</f>
        <v>419566788</v>
      </c>
      <c r="F8" s="2143">
        <f>'Tab. 6A -Drogi'!H43+'Tab. 6B Polit społ i rozwój prz'!H61+'Tab. 6B Polit społ i rozwój prz'!H217+'Tab. 6B Polit społ i rozwój prz'!H229+'Tab. 6E - Administracja'!H135+'Tab. 6E - Administracja'!H154+'Tab. 6E - Administracja'!H167+'Tab. 6H - Kultura fiz. i turyst'!H104+'Tab. 6H - Kultura fiz. i turyst'!H113+'Tab. 6H - Kultura fiz. i turyst'!H131+'Tab. 6H - Kultura fiz. i turyst'!H140+'Tab. 6H - Kultura fiz. i turyst'!H149+'Tab. 6H - Kultura fiz. i turyst'!H159+'Tab. 6H - Kultura fiz. i turyst'!H205+'Tab. 6H - Kultura fiz. i turyst'!H214+'Tab. 6B Polit społ i rozwój prz'!H244+'Tab. 6B Polit społ i rozwój prz'!H256+'Tab. 6B Polit społ i rozwój prz'!H266+'Tab. 6H - Kultura fiz. i turyst'!H122</f>
        <v>85462575</v>
      </c>
      <c r="G8" s="2143">
        <f>'Tab. 6A -Drogi'!I43+'Tab. 6B Polit społ i rozwój prz'!I61+'Tab. 6B Polit społ i rozwój prz'!I217+'Tab. 6B Polit społ i rozwój prz'!I229+'Tab. 6E - Administracja'!I135+'Tab. 6E - Administracja'!I154+'Tab. 6E - Administracja'!I167+'Tab. 6H - Kultura fiz. i turyst'!I104+'Tab. 6H - Kultura fiz. i turyst'!I113+'Tab. 6H - Kultura fiz. i turyst'!I131+'Tab. 6H - Kultura fiz. i turyst'!I140+'Tab. 6H - Kultura fiz. i turyst'!I149+'Tab. 6H - Kultura fiz. i turyst'!I159+'Tab. 6H - Kultura fiz. i turyst'!I205+'Tab. 6H - Kultura fiz. i turyst'!I214+'Tab. 6B Polit społ i rozwój prz'!I244+'Tab. 6B Polit społ i rozwój prz'!I256+'Tab. 6B Polit społ i rozwój prz'!I266+'Tab. 6H - Kultura fiz. i turyst'!I122</f>
        <v>48833495</v>
      </c>
      <c r="H8" s="2143">
        <f>'Tab. 6A -Drogi'!J43+'Tab. 6B Polit społ i rozwój prz'!J61+'Tab. 6B Polit społ i rozwój prz'!J217+'Tab. 6B Polit społ i rozwój prz'!J229+'Tab. 6E - Administracja'!J135+'Tab. 6E - Administracja'!J154+'Tab. 6E - Administracja'!J167+'Tab. 6H - Kultura fiz. i turyst'!J104+'Tab. 6H - Kultura fiz. i turyst'!J113+'Tab. 6H - Kultura fiz. i turyst'!J131+'Tab. 6H - Kultura fiz. i turyst'!J140+'Tab. 6H - Kultura fiz. i turyst'!J149+'Tab. 6H - Kultura fiz. i turyst'!J159+'Tab. 6H - Kultura fiz. i turyst'!J205+'Tab. 6H - Kultura fiz. i turyst'!J214+'Tab. 6B Polit społ i rozwój prz'!J244+'Tab. 6B Polit społ i rozwój prz'!J256+'Tab. 6B Polit społ i rozwój prz'!J266+'Tab. 6H - Kultura fiz. i turyst'!J122</f>
        <v>30471862</v>
      </c>
      <c r="I8" s="2143">
        <f>'Tab. 6A -Drogi'!K43+'Tab. 6B Polit społ i rozwój prz'!K61+'Tab. 6B Polit społ i rozwój prz'!K217+'Tab. 6B Polit społ i rozwój prz'!K229+'Tab. 6E - Administracja'!K135+'Tab. 6E - Administracja'!K154+'Tab. 6E - Administracja'!K167+'Tab. 6H - Kultura fiz. i turyst'!K104+'Tab. 6H - Kultura fiz. i turyst'!K113+'Tab. 6H - Kultura fiz. i turyst'!K131+'Tab. 6H - Kultura fiz. i turyst'!K140+'Tab. 6H - Kultura fiz. i turyst'!K149+'Tab. 6H - Kultura fiz. i turyst'!K159+'Tab. 6H - Kultura fiz. i turyst'!K205+'Tab. 6H - Kultura fiz. i turyst'!K214+'Tab. 6B Polit społ i rozwój prz'!K244+'Tab. 6B Polit społ i rozwój prz'!K256+'Tab. 6B Polit społ i rozwój prz'!K266+'Tab. 6H - Kultura fiz. i turyst'!K122</f>
        <v>30200542</v>
      </c>
      <c r="J8" s="2143">
        <f>'Tab. 6A -Drogi'!L43+'Tab. 6B Polit społ i rozwój prz'!L61+'Tab. 6B Polit społ i rozwój prz'!L217+'Tab. 6B Polit społ i rozwój prz'!L229+'Tab. 6E - Administracja'!L135+'Tab. 6E - Administracja'!L154+'Tab. 6E - Administracja'!L167+'Tab. 6H - Kultura fiz. i turyst'!L104+'Tab. 6H - Kultura fiz. i turyst'!L113+'Tab. 6H - Kultura fiz. i turyst'!L131+'Tab. 6H - Kultura fiz. i turyst'!L140+'Tab. 6H - Kultura fiz. i turyst'!L149+'Tab. 6H - Kultura fiz. i turyst'!L159+'Tab. 6H - Kultura fiz. i turyst'!L205+'Tab. 6H - Kultura fiz. i turyst'!L214+'Tab. 6B Polit społ i rozwój prz'!L244+'Tab. 6B Polit społ i rozwój prz'!L256+'Tab. 6B Polit społ i rozwój prz'!L266+'Tab. 6H - Kultura fiz. i turyst'!L122</f>
        <v>29767279</v>
      </c>
      <c r="K8" s="2143">
        <f>+C8+D8+E8+F8+G8+H8+I8+J8+2029435</f>
        <v>1086017686</v>
      </c>
      <c r="L8" s="2144" t="s">
        <v>61</v>
      </c>
      <c r="M8" s="2142">
        <f>'[1]projekty UE'!$K$8+'[1]projekty UE'!$N$8-C8</f>
        <v>9900223</v>
      </c>
      <c r="N8" s="1585"/>
      <c r="O8" s="1585"/>
    </row>
    <row r="9" spans="1:16" s="1554" customFormat="1" ht="24.75" hidden="1" customHeight="1" thickBot="1">
      <c r="A9" s="2836" t="s">
        <v>199</v>
      </c>
      <c r="B9" s="2837"/>
      <c r="C9" s="2140"/>
      <c r="D9" s="2140"/>
      <c r="E9" s="2140"/>
      <c r="F9" s="2140"/>
      <c r="G9" s="2140"/>
      <c r="H9" s="2140"/>
      <c r="I9" s="2140"/>
      <c r="J9" s="2140"/>
      <c r="K9" s="2140"/>
      <c r="L9" s="2141" t="e">
        <f>#REF!+D9+E9+F9+G9+H9+I9+J9</f>
        <v>#REF!</v>
      </c>
      <c r="M9" s="2142"/>
      <c r="N9" s="1585"/>
      <c r="O9" s="1585"/>
      <c r="P9" s="2142"/>
    </row>
    <row r="10" spans="1:16" s="1554" customFormat="1" ht="24.75" hidden="1" customHeight="1" thickBot="1">
      <c r="A10" s="3734" t="s">
        <v>200</v>
      </c>
      <c r="B10" s="3735"/>
      <c r="C10" s="2143"/>
      <c r="D10" s="2143"/>
      <c r="E10" s="2143"/>
      <c r="F10" s="2143"/>
      <c r="G10" s="2143"/>
      <c r="H10" s="2143"/>
      <c r="I10" s="2143"/>
      <c r="J10" s="2143"/>
      <c r="K10" s="2143"/>
      <c r="L10" s="2144" t="s">
        <v>61</v>
      </c>
      <c r="M10" s="2142"/>
      <c r="N10" s="1585"/>
      <c r="O10" s="1585"/>
    </row>
    <row r="11" spans="1:16" s="1554" customFormat="1" ht="24.75" hidden="1" customHeight="1" thickBot="1">
      <c r="A11" s="3754" t="s">
        <v>201</v>
      </c>
      <c r="B11" s="3755"/>
      <c r="C11" s="2140"/>
      <c r="D11" s="2140"/>
      <c r="E11" s="2140"/>
      <c r="F11" s="2140"/>
      <c r="G11" s="2140"/>
      <c r="H11" s="2140"/>
      <c r="I11" s="2140"/>
      <c r="J11" s="2140"/>
      <c r="K11" s="2140"/>
      <c r="L11" s="2141">
        <f>+D11+E11+F11+G11+H11+I11+J11</f>
        <v>0</v>
      </c>
      <c r="M11" s="2142"/>
      <c r="N11" s="1585"/>
      <c r="O11" s="1585"/>
    </row>
    <row r="12" spans="1:16" s="1554" customFormat="1" ht="24.75" hidden="1" customHeight="1" thickBot="1">
      <c r="A12" s="3734" t="s">
        <v>202</v>
      </c>
      <c r="B12" s="3735"/>
      <c r="C12" s="2143"/>
      <c r="D12" s="2143"/>
      <c r="E12" s="2143"/>
      <c r="F12" s="2143"/>
      <c r="G12" s="2143"/>
      <c r="H12" s="2143"/>
      <c r="I12" s="2143"/>
      <c r="J12" s="2143"/>
      <c r="K12" s="2143"/>
      <c r="L12" s="2144" t="s">
        <v>61</v>
      </c>
      <c r="M12" s="2142"/>
      <c r="N12" s="1585"/>
      <c r="O12" s="1585"/>
    </row>
    <row r="13" spans="1:16" s="1554" customFormat="1" ht="24.75" customHeight="1" thickBot="1">
      <c r="A13" s="3754" t="s">
        <v>203</v>
      </c>
      <c r="B13" s="3755"/>
      <c r="C13" s="2140">
        <f>'Tab. 6G - Roln i ochrona środ.'!E90+'Tab. 6G - Roln i ochrona środ.'!E103+'Tab. 6G - Roln i ochrona środ.'!E118+'Tab. 6G - Roln i ochrona środ.'!E137</f>
        <v>5960282</v>
      </c>
      <c r="D13" s="2140">
        <f>'Tab. 6G - Roln i ochrona środ.'!F90+'Tab. 6G - Roln i ochrona środ.'!F103+'Tab. 6G - Roln i ochrona środ.'!F118+'Tab. 6G - Roln i ochrona środ.'!F137</f>
        <v>3900000</v>
      </c>
      <c r="E13" s="2140">
        <f>'Tab. 6G - Roln i ochrona środ.'!G90+'Tab. 6G - Roln i ochrona środ.'!G103+'Tab. 6G - Roln i ochrona środ.'!G118+'Tab. 6G - Roln i ochrona środ.'!G137</f>
        <v>3274335</v>
      </c>
      <c r="F13" s="2140">
        <f>'Tab. 6G - Roln i ochrona środ.'!H90+'Tab. 6G - Roln i ochrona środ.'!H103+'Tab. 6G - Roln i ochrona środ.'!H118+'Tab. 6G - Roln i ochrona środ.'!H137</f>
        <v>2500000</v>
      </c>
      <c r="G13" s="2140">
        <f>'Tab. 6G - Roln i ochrona środ.'!I90+'Tab. 6G - Roln i ochrona środ.'!I103+'Tab. 6G - Roln i ochrona środ.'!I118+'Tab. 6G - Roln i ochrona środ.'!I137</f>
        <v>2720411</v>
      </c>
      <c r="H13" s="2140">
        <f>'Tab. 6G - Roln i ochrona środ.'!J90+'Tab. 6G - Roln i ochrona środ.'!J103+'Tab. 6G - Roln i ochrona środ.'!J118+'Tab. 6G - Roln i ochrona środ.'!J137</f>
        <v>2720411</v>
      </c>
      <c r="I13" s="2140">
        <f>'Tab. 6G - Roln i ochrona środ.'!K90+'Tab. 6G - Roln i ochrona środ.'!K103+'Tab. 6G - Roln i ochrona środ.'!K118+'Tab. 6G - Roln i ochrona środ.'!K137</f>
        <v>2720411</v>
      </c>
      <c r="J13" s="2140">
        <f>'Tab. 6G - Roln i ochrona środ.'!L90+'Tab. 6G - Roln i ochrona środ.'!L103+'Tab. 6G - Roln i ochrona środ.'!L118+'Tab. 6G - Roln i ochrona środ.'!L137</f>
        <v>1360206</v>
      </c>
      <c r="K13" s="2140">
        <f>C13+D13+E13+F13+G13+H13+I13+J13</f>
        <v>25156056</v>
      </c>
      <c r="L13" s="2141">
        <f>+D13+E13+F13+G13+H13+I13+J13</f>
        <v>19195774</v>
      </c>
      <c r="M13" s="2142">
        <f>'[1]projekty UE'!$K$13+'[1]projekty UE'!$N$13-C13</f>
        <v>0</v>
      </c>
      <c r="N13" s="1585"/>
      <c r="O13" s="1585"/>
    </row>
    <row r="14" spans="1:16" s="1554" customFormat="1" ht="24.75" customHeight="1" thickBot="1">
      <c r="A14" s="3734" t="s">
        <v>204</v>
      </c>
      <c r="B14" s="3735"/>
      <c r="C14" s="2143">
        <f>+'Tab. 6G - Roln i ochrona środ.'!E96+'Tab. 6G - Roln i ochrona środ.'!E110+'Tab. 6G - Roln i ochrona środ.'!E124+'Tab. 6G - Roln i ochrona środ.'!E143</f>
        <v>5960282</v>
      </c>
      <c r="D14" s="2143">
        <f>+'Tab. 6G - Roln i ochrona środ.'!F96+'Tab. 6G - Roln i ochrona środ.'!F110+'Tab. 6G - Roln i ochrona środ.'!F124+'Tab. 6G - Roln i ochrona środ.'!F143</f>
        <v>3900000</v>
      </c>
      <c r="E14" s="2143">
        <f>+'Tab. 6G - Roln i ochrona środ.'!G96+'Tab. 6G - Roln i ochrona środ.'!G110+'Tab. 6G - Roln i ochrona środ.'!G124+'Tab. 6G - Roln i ochrona środ.'!G143</f>
        <v>3274335</v>
      </c>
      <c r="F14" s="2143">
        <f>+'Tab. 6G - Roln i ochrona środ.'!H96+'Tab. 6G - Roln i ochrona środ.'!H110+'Tab. 6G - Roln i ochrona środ.'!H124+'Tab. 6G - Roln i ochrona środ.'!H143</f>
        <v>2500000</v>
      </c>
      <c r="G14" s="2143">
        <f>+'Tab. 6G - Roln i ochrona środ.'!I96+'Tab. 6G - Roln i ochrona środ.'!I110+'Tab. 6G - Roln i ochrona środ.'!I124+'Tab. 6G - Roln i ochrona środ.'!I143</f>
        <v>2720411</v>
      </c>
      <c r="H14" s="2143">
        <f>+'Tab. 6G - Roln i ochrona środ.'!J96+'Tab. 6G - Roln i ochrona środ.'!J110+'Tab. 6G - Roln i ochrona środ.'!J124+'Tab. 6G - Roln i ochrona środ.'!J143</f>
        <v>2720411</v>
      </c>
      <c r="I14" s="2143">
        <f>+'Tab. 6G - Roln i ochrona środ.'!K96+'Tab. 6G - Roln i ochrona środ.'!K110+'Tab. 6G - Roln i ochrona środ.'!K124+'Tab. 6G - Roln i ochrona środ.'!K143</f>
        <v>2720411</v>
      </c>
      <c r="J14" s="2143">
        <f>+'Tab. 6G - Roln i ochrona środ.'!L96+'Tab. 6G - Roln i ochrona środ.'!L110+'Tab. 6G - Roln i ochrona środ.'!L124+'Tab. 6G - Roln i ochrona środ.'!L143</f>
        <v>1360206</v>
      </c>
      <c r="K14" s="2143">
        <f>+C14+D14+E14+F14+G14+H14+I14+J14</f>
        <v>25156056</v>
      </c>
      <c r="L14" s="2144" t="s">
        <v>61</v>
      </c>
      <c r="M14" s="2142">
        <f>'[1]projekty UE'!$K$14+'[1]projekty UE'!$N$14-C14</f>
        <v>0</v>
      </c>
      <c r="N14" s="1585"/>
      <c r="O14" s="1585"/>
    </row>
    <row r="15" spans="1:16" s="1554" customFormat="1" ht="24.75" hidden="1" customHeight="1" thickBot="1">
      <c r="A15" s="2836" t="s">
        <v>205</v>
      </c>
      <c r="B15" s="2837"/>
      <c r="C15" s="2140"/>
      <c r="D15" s="2140"/>
      <c r="E15" s="2140"/>
      <c r="F15" s="2140"/>
      <c r="G15" s="2140"/>
      <c r="H15" s="2140"/>
      <c r="I15" s="2140"/>
      <c r="J15" s="2140"/>
      <c r="K15" s="2140"/>
      <c r="L15" s="2141" t="e">
        <f>#REF!+D15+E15+F15+G15+H15+I15+J15</f>
        <v>#REF!</v>
      </c>
      <c r="M15" s="2142"/>
      <c r="N15" s="1585"/>
      <c r="O15" s="1585"/>
    </row>
    <row r="16" spans="1:16" s="1554" customFormat="1" ht="24.75" hidden="1" customHeight="1" thickBot="1">
      <c r="A16" s="3734" t="s">
        <v>206</v>
      </c>
      <c r="B16" s="3735"/>
      <c r="C16" s="2143"/>
      <c r="D16" s="2143"/>
      <c r="E16" s="2143"/>
      <c r="F16" s="2143"/>
      <c r="G16" s="2143"/>
      <c r="H16" s="2143"/>
      <c r="I16" s="2143"/>
      <c r="J16" s="2143"/>
      <c r="K16" s="2143"/>
      <c r="L16" s="2144" t="s">
        <v>61</v>
      </c>
      <c r="M16" s="2142"/>
      <c r="N16" s="1585"/>
      <c r="O16" s="1585"/>
    </row>
    <row r="17" spans="1:16" s="1554" customFormat="1" ht="24.75" customHeight="1" thickBot="1">
      <c r="A17" s="3736" t="s">
        <v>207</v>
      </c>
      <c r="B17" s="3737"/>
      <c r="C17" s="2140">
        <f>'Tab. 6G - Roln i ochrona środ.'!E68+'Tab. 6G - Roln i ochrona środ.'!E79</f>
        <v>8982580</v>
      </c>
      <c r="D17" s="2140">
        <f>'Tab. 6G - Roln i ochrona środ.'!F68+'Tab. 6G - Roln i ochrona środ.'!F79</f>
        <v>6133675</v>
      </c>
      <c r="E17" s="2140">
        <f>'Tab. 6G - Roln i ochrona środ.'!G68+'Tab. 6G - Roln i ochrona środ.'!G79</f>
        <v>3377928</v>
      </c>
      <c r="F17" s="2140">
        <f>'Tab. 6G - Roln i ochrona środ.'!H68+'Tab. 6G - Roln i ochrona środ.'!H79</f>
        <v>1229040</v>
      </c>
      <c r="G17" s="2140">
        <f>'Tab. 6G - Roln i ochrona środ.'!I68+'Tab. 6G - Roln i ochrona środ.'!I79</f>
        <v>0</v>
      </c>
      <c r="H17" s="2140">
        <f>'Tab. 6G - Roln i ochrona środ.'!J68+'Tab. 6G - Roln i ochrona środ.'!J79</f>
        <v>0</v>
      </c>
      <c r="I17" s="2140">
        <f>'Tab. 6G - Roln i ochrona środ.'!K68+'Tab. 6G - Roln i ochrona środ.'!K79</f>
        <v>0</v>
      </c>
      <c r="J17" s="2140">
        <f>'Tab. 6G - Roln i ochrona środ.'!L68+'Tab. 6G - Roln i ochrona środ.'!L79</f>
        <v>0</v>
      </c>
      <c r="K17" s="2140">
        <f>C17+D17+E17+F17+G17+H17+I17+J17</f>
        <v>19723223</v>
      </c>
      <c r="L17" s="2141">
        <f>+D17+E17+F17+G17+H17+I17+J17</f>
        <v>10740643</v>
      </c>
      <c r="M17" s="2142">
        <f>'[1]projekty UE'!$K$17+'[1]projekty UE'!$N$17-C17</f>
        <v>0</v>
      </c>
      <c r="N17" s="1585"/>
      <c r="O17" s="1585"/>
    </row>
    <row r="18" spans="1:16" s="1554" customFormat="1" ht="24.75" customHeight="1" thickBot="1">
      <c r="A18" s="3734" t="s">
        <v>208</v>
      </c>
      <c r="B18" s="3735"/>
      <c r="C18" s="2143">
        <f>'Tab. 6G - Roln i ochrona środ.'!E73+'Tab. 6G - Roln i ochrona środ.'!E84</f>
        <v>11297151</v>
      </c>
      <c r="D18" s="2143">
        <f>'Tab. 6G - Roln i ochrona środ.'!F73+'Tab. 6G - Roln i ochrona środ.'!F84</f>
        <v>3442541</v>
      </c>
      <c r="E18" s="2143">
        <f>'Tab. 6G - Roln i ochrona środ.'!G73+'Tab. 6G - Roln i ochrona środ.'!G84</f>
        <v>0</v>
      </c>
      <c r="F18" s="2143">
        <f>'Tab. 6G - Roln i ochrona środ.'!H73+'Tab. 6G - Roln i ochrona środ.'!H84</f>
        <v>4983531</v>
      </c>
      <c r="G18" s="2143">
        <f>'Tab. 6G - Roln i ochrona środ.'!I73+'Tab. 6G - Roln i ochrona środ.'!I84</f>
        <v>0</v>
      </c>
      <c r="H18" s="2143">
        <f>'Tab. 6G - Roln i ochrona środ.'!J73+'Tab. 6G - Roln i ochrona środ.'!J84</f>
        <v>0</v>
      </c>
      <c r="I18" s="2143">
        <f>'Tab. 6G - Roln i ochrona środ.'!K73+'Tab. 6G - Roln i ochrona środ.'!K84</f>
        <v>0</v>
      </c>
      <c r="J18" s="2143">
        <f>'Tab. 6G - Roln i ochrona środ.'!L73+'Tab. 6G - Roln i ochrona środ.'!L84</f>
        <v>0</v>
      </c>
      <c r="K18" s="2143">
        <f>+C18+D18+E18+F18+G18+H18+I18+J18</f>
        <v>19723223</v>
      </c>
      <c r="L18" s="2144" t="s">
        <v>61</v>
      </c>
      <c r="M18" s="2142">
        <f>'[1]projekty UE'!$K$18+'[1]projekty UE'!$N$18-C18</f>
        <v>0</v>
      </c>
      <c r="N18" s="1585"/>
      <c r="O18" s="1585"/>
    </row>
    <row r="19" spans="1:16" s="1554" customFormat="1" ht="24.75" customHeight="1" thickBot="1">
      <c r="A19" s="3730" t="s">
        <v>209</v>
      </c>
      <c r="B19" s="3731"/>
      <c r="C19" s="2140">
        <f>+'Tab. 6E - Administracja'!E72+'Tab. 6E - Administracja'!E83+'Tab. 6E - Administracja'!E235+'Tab. 6E - Administracja'!E236+'Tab. 6E - Administracja'!E239+'Tab. 6E - Administracja'!E246</f>
        <v>2763981</v>
      </c>
      <c r="D19" s="2140">
        <f>+'Tab. 6E - Administracja'!F72+'Tab. 6E - Administracja'!F83+'Tab. 6E - Administracja'!F235+'Tab. 6E - Administracja'!F236+'Tab. 6E - Administracja'!F239+'Tab. 6E - Administracja'!F246</f>
        <v>6200430</v>
      </c>
      <c r="E19" s="2140">
        <f>+'Tab. 6E - Administracja'!G72+'Tab. 6E - Administracja'!G83+'Tab. 6E - Administracja'!G235+'Tab. 6E - Administracja'!G236+'Tab. 6E - Administracja'!G239+'Tab. 6E - Administracja'!G246</f>
        <v>2968869</v>
      </c>
      <c r="F19" s="2140">
        <f>+'Tab. 6E - Administracja'!H72+'Tab. 6E - Administracja'!H83+'Tab. 6E - Administracja'!H235+'Tab. 6E - Administracja'!H236+'Tab. 6E - Administracja'!H239+'Tab. 6E - Administracja'!H246</f>
        <v>1500000</v>
      </c>
      <c r="G19" s="2140">
        <f>+'Tab. 6E - Administracja'!I72+'Tab. 6E - Administracja'!I83+'Tab. 6E - Administracja'!I235+'Tab. 6E - Administracja'!I236+'Tab. 6E - Administracja'!I239+'Tab. 6E - Administracja'!I246</f>
        <v>1400000</v>
      </c>
      <c r="H19" s="2140">
        <f>+'Tab. 6E - Administracja'!J72+'Tab. 6E - Administracja'!J83+'Tab. 6E - Administracja'!J235+'Tab. 6E - Administracja'!J236+'Tab. 6E - Administracja'!J239+'Tab. 6E - Administracja'!J246</f>
        <v>0</v>
      </c>
      <c r="I19" s="2140">
        <f>+'Tab. 6E - Administracja'!K72+'Tab. 6E - Administracja'!K83+'Tab. 6E - Administracja'!K235+'Tab. 6E - Administracja'!K236+'Tab. 6E - Administracja'!K239+'Tab. 6E - Administracja'!K246</f>
        <v>0</v>
      </c>
      <c r="J19" s="2140">
        <f>+'Tab. 6E - Administracja'!L72+'Tab. 6E - Administracja'!L83+'Tab. 6E - Administracja'!L235+'Tab. 6E - Administracja'!L236+'Tab. 6E - Administracja'!L239+'Tab. 6E - Administracja'!L246</f>
        <v>0</v>
      </c>
      <c r="K19" s="2140">
        <f>C19+D19+E19+F19+G19+H19+I19+J19</f>
        <v>14833280</v>
      </c>
      <c r="L19" s="2141">
        <f>+D19+E19+F19+G19+H19+I19+J19</f>
        <v>12069299</v>
      </c>
      <c r="M19" s="2142">
        <f>'[1]projekty UE'!$K$19+'[1]projekty UE'!$N$19-C19</f>
        <v>0</v>
      </c>
      <c r="N19" s="1585"/>
      <c r="O19" s="1585"/>
    </row>
    <row r="20" spans="1:16" s="1554" customFormat="1" ht="24.75" customHeight="1" thickBot="1">
      <c r="A20" s="3734" t="s">
        <v>210</v>
      </c>
      <c r="B20" s="3735"/>
      <c r="C20" s="2143">
        <f>+'Tab. 6E - Administracja'!E77+'Tab. 6E - Administracja'!E88+'Tab. 6E - Administracja'!E240+'Tab. 6E - Administracja'!E251</f>
        <v>2753370</v>
      </c>
      <c r="D20" s="2143">
        <f>+'Tab. 6E - Administracja'!F77+'Tab. 6E - Administracja'!F88+'Tab. 6E - Administracja'!F240+'Tab. 6E - Administracja'!F251</f>
        <v>6148528</v>
      </c>
      <c r="E20" s="2143">
        <f>+'Tab. 6E - Administracja'!G77+'Tab. 6E - Administracja'!G88+'Tab. 6E - Administracja'!G240+'Tab. 6E - Administracja'!G251</f>
        <v>2931382</v>
      </c>
      <c r="F20" s="2143">
        <f>+'Tab. 6E - Administracja'!H77+'Tab. 6E - Administracja'!H88+'Tab. 6E - Administracja'!H240+'Tab. 6E - Administracja'!H251</f>
        <v>1500000</v>
      </c>
      <c r="G20" s="2143">
        <f>+'Tab. 6E - Administracja'!I77+'Tab. 6E - Administracja'!I88+'Tab. 6E - Administracja'!I240+'Tab. 6E - Administracja'!I251</f>
        <v>1400000</v>
      </c>
      <c r="H20" s="2143">
        <f>+'Tab. 6E - Administracja'!J77+'Tab. 6E - Administracja'!J88+'Tab. 6E - Administracja'!J240+'Tab. 6E - Administracja'!J251</f>
        <v>0</v>
      </c>
      <c r="I20" s="2143">
        <f>+'Tab. 6E - Administracja'!K77+'Tab. 6E - Administracja'!K88+'Tab. 6E - Administracja'!K240+'Tab. 6E - Administracja'!K251</f>
        <v>0</v>
      </c>
      <c r="J20" s="2143">
        <f>+'Tab. 6E - Administracja'!L77+'Tab. 6E - Administracja'!L88+'Tab. 6E - Administracja'!L240+'Tab. 6E - Administracja'!L251</f>
        <v>0</v>
      </c>
      <c r="K20" s="2143">
        <f>+C20+D20+E20+F20+G20+H20+I20+J20</f>
        <v>14733280</v>
      </c>
      <c r="L20" s="2144" t="s">
        <v>61</v>
      </c>
      <c r="M20" s="2142">
        <f>'[1]projekty UE'!$K$20+'[1]projekty UE'!$N$20-C20</f>
        <v>0</v>
      </c>
      <c r="N20" s="1585"/>
      <c r="O20" s="1585"/>
    </row>
    <row r="21" spans="1:16" s="1554" customFormat="1" ht="24.75" hidden="1" customHeight="1" thickBot="1">
      <c r="A21" s="3730" t="s">
        <v>211</v>
      </c>
      <c r="B21" s="3731"/>
      <c r="C21" s="2140"/>
      <c r="D21" s="2140"/>
      <c r="E21" s="2140"/>
      <c r="F21" s="2140"/>
      <c r="G21" s="2140"/>
      <c r="H21" s="2140"/>
      <c r="I21" s="2140"/>
      <c r="J21" s="2140"/>
      <c r="K21" s="2140"/>
      <c r="L21" s="2141" t="e">
        <f>#REF!+D21+E21+F21+G21+H21+I21+J21</f>
        <v>#REF!</v>
      </c>
      <c r="M21" s="2142"/>
      <c r="N21" s="1585"/>
      <c r="O21" s="1585"/>
    </row>
    <row r="22" spans="1:16" s="1554" customFormat="1" ht="22.5" hidden="1" customHeight="1" thickBot="1">
      <c r="A22" s="3732" t="s">
        <v>212</v>
      </c>
      <c r="B22" s="3733"/>
      <c r="C22" s="2143"/>
      <c r="D22" s="2143"/>
      <c r="E22" s="2143"/>
      <c r="F22" s="2143"/>
      <c r="G22" s="2143"/>
      <c r="H22" s="2143"/>
      <c r="I22" s="2143"/>
      <c r="J22" s="2143"/>
      <c r="K22" s="2143"/>
      <c r="L22" s="2144" t="s">
        <v>61</v>
      </c>
      <c r="M22" s="2142"/>
      <c r="N22" s="1585"/>
      <c r="O22" s="1585"/>
    </row>
    <row r="23" spans="1:16" s="1554" customFormat="1" ht="23.25" customHeight="1" thickBot="1">
      <c r="A23" s="3730" t="s">
        <v>238</v>
      </c>
      <c r="B23" s="3731"/>
      <c r="C23" s="2140">
        <f>'Tab. 6B Polit społ i rozwój prz'!E151+'Tab. 6B Polit społ i rozwój prz'!E163</f>
        <v>1759846</v>
      </c>
      <c r="D23" s="2140">
        <f>'Tab. 6B Polit społ i rozwój prz'!F151+'Tab. 6B Polit społ i rozwój prz'!F163</f>
        <v>1662316</v>
      </c>
      <c r="E23" s="2140">
        <f>'Tab. 6B Polit społ i rozwój prz'!G151+'Tab. 6B Polit społ i rozwój prz'!G163</f>
        <v>1651824</v>
      </c>
      <c r="F23" s="2140">
        <f>'Tab. 6B Polit społ i rozwój prz'!H151+'Tab. 6B Polit społ i rozwój prz'!H163</f>
        <v>2254390</v>
      </c>
      <c r="G23" s="2140">
        <f>'Tab. 6B Polit społ i rozwój prz'!I151+'Tab. 6B Polit społ i rozwój prz'!I163</f>
        <v>2254390</v>
      </c>
      <c r="H23" s="2140">
        <f>'Tab. 6B Polit społ i rozwój prz'!J151</f>
        <v>0</v>
      </c>
      <c r="I23" s="2140">
        <f>'Tab. 6B Polit społ i rozwój prz'!K151</f>
        <v>0</v>
      </c>
      <c r="J23" s="2140">
        <f>'Tab. 6B Polit społ i rozwój prz'!L151</f>
        <v>0</v>
      </c>
      <c r="K23" s="2140">
        <f>C23+D23+E23+F23+G23+H23+I23+J23</f>
        <v>9582766</v>
      </c>
      <c r="L23" s="2141">
        <f>+D23+E23+F23+G23+H23+I23+J23</f>
        <v>7822920</v>
      </c>
      <c r="M23" s="2142">
        <f>'[1]projekty UE'!$K$23+'[1]projekty UE'!$N$23-C23</f>
        <v>0</v>
      </c>
      <c r="N23" s="1585"/>
      <c r="O23" s="1585"/>
    </row>
    <row r="24" spans="1:16" s="1554" customFormat="1" ht="25.5" customHeight="1" thickBot="1">
      <c r="A24" s="3734" t="s">
        <v>239</v>
      </c>
      <c r="B24" s="3735"/>
      <c r="C24" s="2143">
        <f>'Tab. 6B Polit społ i rozwój prz'!E157+'Tab. 6B Polit społ i rozwój prz'!E169</f>
        <v>1483198</v>
      </c>
      <c r="D24" s="2143">
        <f>'Tab. 6B Polit społ i rozwój prz'!F157+'Tab. 6B Polit społ i rozwój prz'!F169</f>
        <v>1401000</v>
      </c>
      <c r="E24" s="2143">
        <f>'Tab. 6B Polit społ i rozwój prz'!G157+'Tab. 6B Polit społ i rozwój prz'!G169</f>
        <v>1392157</v>
      </c>
      <c r="F24" s="2143">
        <f>'Tab. 6B Polit społ i rozwój prz'!H157</f>
        <v>1900000</v>
      </c>
      <c r="G24" s="2143">
        <f>'Tab. 6B Polit społ i rozwój prz'!I157</f>
        <v>1900000</v>
      </c>
      <c r="H24" s="2143">
        <f>'Tab. 6B Polit społ i rozwój prz'!J157</f>
        <v>0</v>
      </c>
      <c r="I24" s="2143">
        <f>'Tab. 6B Polit społ i rozwój prz'!K157</f>
        <v>0</v>
      </c>
      <c r="J24" s="2143">
        <f>'Tab. 6B Polit społ i rozwój prz'!L157</f>
        <v>0</v>
      </c>
      <c r="K24" s="2143">
        <f>+C24+D24+E24+F24+G24+H24+I24+J24</f>
        <v>8076355</v>
      </c>
      <c r="L24" s="2144" t="s">
        <v>61</v>
      </c>
      <c r="M24" s="2142">
        <f>'[1]projekty UE'!$K$24+'[1]projekty UE'!$N$24-C24</f>
        <v>0</v>
      </c>
      <c r="N24" s="1585"/>
      <c r="O24" s="1585"/>
    </row>
    <row r="25" spans="1:16" s="1625" customFormat="1" ht="24" customHeight="1" thickBot="1">
      <c r="A25" s="3730" t="s">
        <v>213</v>
      </c>
      <c r="B25" s="3731"/>
      <c r="C25" s="2140">
        <f t="shared" ref="C25" si="0">C28+C30+C32+C34+C36</f>
        <v>1595274</v>
      </c>
      <c r="D25" s="2140">
        <f t="shared" ref="D25:I25" si="1">D28+D30+D32+D34+D36</f>
        <v>14201393</v>
      </c>
      <c r="E25" s="2140">
        <f t="shared" si="1"/>
        <v>27364776</v>
      </c>
      <c r="F25" s="2140">
        <f t="shared" si="1"/>
        <v>10228685</v>
      </c>
      <c r="G25" s="2140">
        <f t="shared" si="1"/>
        <v>871768</v>
      </c>
      <c r="H25" s="2140">
        <f t="shared" si="1"/>
        <v>280970</v>
      </c>
      <c r="I25" s="2140">
        <f t="shared" si="1"/>
        <v>361235</v>
      </c>
      <c r="J25" s="2140">
        <f t="shared" ref="J25" si="2">J28+J30+J32+J34+J36</f>
        <v>0</v>
      </c>
      <c r="K25" s="2140">
        <f>C25+D25+E25+F25+G25+H25+I25+J25</f>
        <v>54904101</v>
      </c>
      <c r="L25" s="2141">
        <f>+D25+E25+F25+G25+H25+I25+J25</f>
        <v>53308827</v>
      </c>
      <c r="M25" s="2145"/>
      <c r="N25" s="1624"/>
      <c r="O25" s="1624"/>
    </row>
    <row r="26" spans="1:16" s="1625" customFormat="1" ht="24" customHeight="1" thickBot="1">
      <c r="A26" s="3732" t="s">
        <v>214</v>
      </c>
      <c r="B26" s="3733"/>
      <c r="C26" s="2143">
        <f>C29+C31+C33+C35+C37</f>
        <v>57003</v>
      </c>
      <c r="D26" s="2143">
        <f>D29+D31+D33+D35+D37</f>
        <v>780363.7</v>
      </c>
      <c r="E26" s="2143">
        <f t="shared" ref="E26:I26" si="3">E29+E31+E33+E35+E37</f>
        <v>20202037</v>
      </c>
      <c r="F26" s="2143">
        <f t="shared" si="3"/>
        <v>15001834</v>
      </c>
      <c r="G26" s="2143">
        <f t="shared" si="3"/>
        <v>4552691</v>
      </c>
      <c r="H26" s="2143">
        <f t="shared" si="3"/>
        <v>565374</v>
      </c>
      <c r="I26" s="2143">
        <f t="shared" si="3"/>
        <v>280770</v>
      </c>
      <c r="J26" s="2143">
        <f t="shared" ref="J26" si="4">J29+J31+J33+J35+J37</f>
        <v>361035</v>
      </c>
      <c r="K26" s="2143">
        <f>+C26+D26+E26+F26+G26+H26+I26+J26</f>
        <v>41801107.700000003</v>
      </c>
      <c r="L26" s="2144" t="s">
        <v>61</v>
      </c>
      <c r="M26" s="2145"/>
      <c r="N26" s="1624"/>
      <c r="O26" s="1624"/>
      <c r="P26" s="2145"/>
    </row>
    <row r="27" spans="1:16" s="1625" customFormat="1" ht="15">
      <c r="A27" s="3740" t="s">
        <v>156</v>
      </c>
      <c r="B27" s="3741"/>
      <c r="C27" s="2146"/>
      <c r="D27" s="2146"/>
      <c r="E27" s="2146"/>
      <c r="F27" s="2146"/>
      <c r="G27" s="2146"/>
      <c r="H27" s="2146"/>
      <c r="I27" s="2146"/>
      <c r="J27" s="2146"/>
      <c r="K27" s="2146"/>
      <c r="L27" s="2147"/>
      <c r="M27" s="2142"/>
      <c r="N27" s="1624"/>
      <c r="O27" s="1624"/>
    </row>
    <row r="28" spans="1:16" s="1625" customFormat="1" ht="17.25" customHeight="1">
      <c r="A28" s="3742" t="s">
        <v>443</v>
      </c>
      <c r="B28" s="3743"/>
      <c r="C28" s="2148">
        <f>'Tab. 6A -Drogi'!E425-'Tab. 6A -Drogi'!E504-'Tab. 6A -Drogi'!E519</f>
        <v>794741</v>
      </c>
      <c r="D28" s="2148">
        <f>'Tab. 6A -Drogi'!F425-'Tab. 6A -Drogi'!F504-'Tab. 6A -Drogi'!F519</f>
        <v>11716161</v>
      </c>
      <c r="E28" s="2148">
        <f>'Tab. 6A -Drogi'!G425-'Tab. 6A -Drogi'!G504-'Tab. 6A -Drogi'!G519</f>
        <v>24380956</v>
      </c>
      <c r="F28" s="2148">
        <f>'Tab. 6A -Drogi'!H425-'Tab. 6A -Drogi'!H504-'Tab. 6A -Drogi'!H519</f>
        <v>7699860</v>
      </c>
      <c r="G28" s="2148">
        <f>'Tab. 6A -Drogi'!I425-'Tab. 6A -Drogi'!I504-'Tab. 6A -Drogi'!I519</f>
        <v>0</v>
      </c>
      <c r="H28" s="2148">
        <f>'Tab. 6A -Drogi'!J425-'Tab. 6A -Drogi'!J504</f>
        <v>0</v>
      </c>
      <c r="I28" s="2148">
        <f>'Tab. 6A -Drogi'!K425-'Tab. 6A -Drogi'!K504</f>
        <v>0</v>
      </c>
      <c r="J28" s="2148">
        <f>'Tab. 6A -Drogi'!L425-'Tab. 6A -Drogi'!L504</f>
        <v>0</v>
      </c>
      <c r="K28" s="2148">
        <f>C28+D28+E28+F28+G28+H28+I28+J28</f>
        <v>44591718</v>
      </c>
      <c r="L28" s="2149">
        <f>+D28+E28+F28+G28+H28+I28+J28</f>
        <v>43796977</v>
      </c>
      <c r="M28" s="2142"/>
      <c r="N28" s="1624"/>
      <c r="O28" s="1624"/>
    </row>
    <row r="29" spans="1:16" s="1625" customFormat="1" ht="17.25" customHeight="1">
      <c r="A29" s="3744" t="s">
        <v>444</v>
      </c>
      <c r="B29" s="3745"/>
      <c r="C29" s="2150">
        <f>'Tab. 6A -Drogi'!E431-'Tab. 6A -Drogi'!E515-'Tab. 6A -Drogi'!E530</f>
        <v>57003</v>
      </c>
      <c r="D29" s="2150">
        <f>'Tab. 6A -Drogi'!F431-'Tab. 6A -Drogi'!F515-'Tab. 6A -Drogi'!F530</f>
        <v>0</v>
      </c>
      <c r="E29" s="2150">
        <f>'Tab. 6A -Drogi'!G431-'Tab. 6A -Drogi'!G515-'Tab. 6A -Drogi'!G530</f>
        <v>17548333</v>
      </c>
      <c r="F29" s="2150">
        <f>'Tab. 6A -Drogi'!H431-'Tab. 6A -Drogi'!H515-'Tab. 6A -Drogi'!H530</f>
        <v>11986823</v>
      </c>
      <c r="G29" s="2150">
        <f>'Tab. 6A -Drogi'!I431-'Tab. 6A -Drogi'!I515-'Tab. 6A -Drogi'!I530</f>
        <v>2981558</v>
      </c>
      <c r="H29" s="2150">
        <f>'Tab. 6A -Drogi'!J431-'Tab. 6A -Drogi'!J515-'Tab. 6A -Drogi'!J530</f>
        <v>0</v>
      </c>
      <c r="I29" s="2150">
        <f>'Tab. 6A -Drogi'!K431-'Tab. 6A -Drogi'!K515-'Tab. 6A -Drogi'!K530</f>
        <v>0</v>
      </c>
      <c r="J29" s="2150">
        <f>'Tab. 6A -Drogi'!L431-'Tab. 6A -Drogi'!L515-'Tab. 6A -Drogi'!L530</f>
        <v>0</v>
      </c>
      <c r="K29" s="2150">
        <f>+C29+D29+E29+F29+G29+H29+I29+J29</f>
        <v>32573717</v>
      </c>
      <c r="L29" s="2151" t="s">
        <v>61</v>
      </c>
      <c r="M29" s="2142"/>
      <c r="N29" s="1624"/>
      <c r="O29" s="1624"/>
    </row>
    <row r="30" spans="1:16" s="1625" customFormat="1" ht="24" customHeight="1">
      <c r="A30" s="3746" t="s">
        <v>515</v>
      </c>
      <c r="B30" s="3747"/>
      <c r="C30" s="2152">
        <f>'Tab. 6E - Administracja'!E27+'Tab.6I - Planow. przestrz.'!E54+'Tab.6I - Planow. przestrz.'!E72+'Tab. 6E - Administracja'!E39+'Tab. 6E - Administracja'!E60</f>
        <v>358655</v>
      </c>
      <c r="D30" s="2152">
        <f>'Tab. 6E - Administracja'!F27+'Tab.6I - Planow. przestrz.'!F54+'Tab.6I - Planow. przestrz.'!F72+'Tab. 6E - Administracja'!F39+'Tab. 6E - Administracja'!F60</f>
        <v>850675</v>
      </c>
      <c r="E30" s="2152">
        <f>'Tab. 6E - Administracja'!G27+'Tab.6I - Planow. przestrz.'!G54+'Tab.6I - Planow. przestrz.'!G72+'Tab. 6E - Administracja'!G39+'Tab. 6E - Administracja'!G60</f>
        <v>624871</v>
      </c>
      <c r="F30" s="2152">
        <f>'Tab. 6E - Administracja'!H27+'Tab.6I - Planow. przestrz.'!H54+'Tab.6I - Planow. przestrz.'!H72+'Tab. 6E - Administracja'!H39+'Tab. 6E - Administracja'!H60</f>
        <v>617328</v>
      </c>
      <c r="G30" s="2152">
        <f>'Tab. 6E - Administracja'!I27+'Tab.6I - Planow. przestrz.'!I54+'Tab.6I - Planow. przestrz.'!I72+'Tab. 6E - Administracja'!I39+'Tab. 6E - Administracja'!I60</f>
        <v>617218</v>
      </c>
      <c r="H30" s="2152">
        <f>'Tab. 6E - Administracja'!J27+'Tab.6I - Planow. przestrz.'!J54+'Tab.6I - Planow. przestrz.'!J72+'Tab. 6E - Administracja'!J39+'Tab. 6E - Administracja'!J60</f>
        <v>280970</v>
      </c>
      <c r="I30" s="2152">
        <f>'Tab. 6E - Administracja'!K27+'Tab.6I - Planow. przestrz.'!K54+'Tab.6I - Planow. przestrz.'!K72+'Tab. 6E - Administracja'!K39+'Tab. 6E - Administracja'!K60</f>
        <v>361235</v>
      </c>
      <c r="J30" s="2152">
        <f>'Tab. 6E - Administracja'!L27+'Tab.6I - Planow. przestrz.'!L54+'Tab.6I - Planow. przestrz.'!L72+'Tab. 6E - Administracja'!L39+'Tab. 6E - Administracja'!L60</f>
        <v>0</v>
      </c>
      <c r="K30" s="2148">
        <f>C30+D30+E30+F30+G30+H30+I30+J30</f>
        <v>3710952</v>
      </c>
      <c r="L30" s="2149">
        <f>+D30+E30+F30+G30+H30+I30+J30</f>
        <v>3352297</v>
      </c>
      <c r="M30" s="2142"/>
      <c r="N30" s="1624"/>
      <c r="O30" s="1624"/>
    </row>
    <row r="31" spans="1:16" s="1625" customFormat="1" ht="24" customHeight="1">
      <c r="A31" s="3748" t="s">
        <v>516</v>
      </c>
      <c r="B31" s="3749"/>
      <c r="C31" s="2150">
        <f>'Tab. 6E - Administracja'!E35+'Tab.6I - Planow. przestrz.'!E66+'Tab.6I - Planow. przestrz.'!E77+'Tab. 6E - Administracja'!E54+'Tab. 6E - Administracja'!E66</f>
        <v>0</v>
      </c>
      <c r="D31" s="2150">
        <f>'Tab. 6E - Administracja'!F35+'Tab.6I - Planow. przestrz.'!F66+'Tab.6I - Planow. przestrz.'!F77+'Tab. 6E - Administracja'!F54+'Tab. 6E - Administracja'!F66</f>
        <v>379899.7</v>
      </c>
      <c r="E31" s="2150">
        <f>'Tab. 6E - Administracja'!G35+'Tab.6I - Planow. przestrz.'!G66+'Tab.6I - Planow. przestrz.'!G77+'Tab. 6E - Administracja'!G54+'Tab. 6E - Administracja'!G66</f>
        <v>944753</v>
      </c>
      <c r="F31" s="2150">
        <f>'Tab. 6E - Administracja'!H35+'Tab.6I - Planow. przestrz.'!H66+'Tab.6I - Planow. przestrz.'!H77+'Tab. 6E - Administracja'!H54+'Tab. 6E - Administracja'!H66</f>
        <v>610467</v>
      </c>
      <c r="G31" s="2150">
        <f>'Tab. 6E - Administracja'!I35+'Tab.6I - Planow. przestrz.'!I66+'Tab.6I - Planow. przestrz.'!I77+'Tab. 6E - Administracja'!I54+'Tab. 6E - Administracja'!I66</f>
        <v>603014</v>
      </c>
      <c r="H31" s="2150">
        <f>'Tab. 6E - Administracja'!J35+'Tab.6I - Planow. przestrz.'!J66+'Tab.6I - Planow. przestrz.'!J77+'Tab. 6E - Administracja'!J54+'Tab. 6E - Administracja'!J66</f>
        <v>459211</v>
      </c>
      <c r="I31" s="2150">
        <f>'Tab. 6E - Administracja'!K35+'Tab.6I - Planow. przestrz.'!K66+'Tab.6I - Planow. przestrz.'!K77+'Tab. 6E - Administracja'!K54+'Tab. 6E - Administracja'!K66</f>
        <v>280770</v>
      </c>
      <c r="J31" s="2150">
        <f>'Tab. 6E - Administracja'!L35+'Tab.6I - Planow. przestrz.'!L66+'Tab.6I - Planow. przestrz.'!L77+'Tab. 6E - Administracja'!L54+'Tab. 6E - Administracja'!L66</f>
        <v>361035</v>
      </c>
      <c r="K31" s="2150">
        <f>+C31+D31+E31+F31+G31+H31+I31+J31</f>
        <v>3639149.7</v>
      </c>
      <c r="L31" s="2151" t="s">
        <v>61</v>
      </c>
      <c r="M31" s="2142"/>
      <c r="N31" s="1624"/>
      <c r="O31" s="1624"/>
    </row>
    <row r="32" spans="1:16" s="1625" customFormat="1" ht="24" customHeight="1">
      <c r="A32" s="3746" t="s">
        <v>512</v>
      </c>
      <c r="B32" s="3747"/>
      <c r="C32" s="2152">
        <f>'Tab. 6A -Drogi'!E504+'Tab. 6A -Drogi'!E519</f>
        <v>43098</v>
      </c>
      <c r="D32" s="2152">
        <f>'Tab. 6A -Drogi'!F504+'Tab. 6A -Drogi'!F519</f>
        <v>355718</v>
      </c>
      <c r="E32" s="2152">
        <f>'Tab. 6A -Drogi'!G504+'Tab. 6A -Drogi'!G519</f>
        <v>281076</v>
      </c>
      <c r="F32" s="2152">
        <f>'Tab. 6A -Drogi'!H504+'Tab. 6A -Drogi'!H519</f>
        <v>190076</v>
      </c>
      <c r="G32" s="2152">
        <f>'Tab. 6A -Drogi'!I504+'Tab. 6A -Drogi'!I519</f>
        <v>82172</v>
      </c>
      <c r="H32" s="2152">
        <f>'Tab. 6A -Drogi'!J504+'Tab. 6A -Drogi'!J519</f>
        <v>0</v>
      </c>
      <c r="I32" s="2152">
        <f>'Tab. 6A -Drogi'!K504+'Tab. 6A -Drogi'!K519</f>
        <v>0</v>
      </c>
      <c r="J32" s="2152">
        <f>'Tab. 6A -Drogi'!L504</f>
        <v>0</v>
      </c>
      <c r="K32" s="2148">
        <f>C32+D32+E32+F32+G32+H32+I32+J32</f>
        <v>952140</v>
      </c>
      <c r="L32" s="2149">
        <f>+D32+E32+F32+G32+H32+I32+J32</f>
        <v>909042</v>
      </c>
      <c r="M32" s="2145"/>
      <c r="N32" s="1624"/>
      <c r="O32" s="1624"/>
      <c r="P32" s="1638"/>
    </row>
    <row r="33" spans="1:15" s="1625" customFormat="1" ht="28.5" customHeight="1">
      <c r="A33" s="3748" t="s">
        <v>513</v>
      </c>
      <c r="B33" s="3749"/>
      <c r="C33" s="2150">
        <f>'Tab. 6A -Drogi'!E515+'Tab. 6A -Drogi'!E530</f>
        <v>0</v>
      </c>
      <c r="D33" s="2150">
        <f>'Tab. 6A -Drogi'!F515+'Tab. 6A -Drogi'!F530</f>
        <v>28480</v>
      </c>
      <c r="E33" s="2150">
        <f>'Tab. 6A -Drogi'!G515+'Tab. 6A -Drogi'!G530</f>
        <v>328684</v>
      </c>
      <c r="F33" s="2150">
        <f>'Tab. 6A -Drogi'!H515+'Tab. 6A -Drogi'!H530</f>
        <v>261180</v>
      </c>
      <c r="G33" s="2150">
        <f>'Tab. 6A -Drogi'!I515+'Tab. 6A -Drogi'!I530</f>
        <v>187198</v>
      </c>
      <c r="H33" s="2150">
        <f>'Tab. 6A -Drogi'!J515+'Tab. 6A -Drogi'!J530</f>
        <v>0</v>
      </c>
      <c r="I33" s="2150">
        <f>'Tab. 6A -Drogi'!K515+'Tab. 6A -Drogi'!K530</f>
        <v>0</v>
      </c>
      <c r="J33" s="2150">
        <f>'Tab. 6A -Drogi'!L515</f>
        <v>0</v>
      </c>
      <c r="K33" s="2150">
        <f>+C33+D33+E33+F33+G33+H33+I33+J33</f>
        <v>805542</v>
      </c>
      <c r="L33" s="2151" t="s">
        <v>61</v>
      </c>
      <c r="M33" s="2145"/>
      <c r="N33" s="1624"/>
      <c r="O33" s="1624"/>
    </row>
    <row r="34" spans="1:15" s="1625" customFormat="1" ht="17.25" customHeight="1">
      <c r="A34" s="3750" t="s">
        <v>445</v>
      </c>
      <c r="B34" s="3751"/>
      <c r="C34" s="2152">
        <f>'Tab. 6B Polit społ i rozwój prz'!E31</f>
        <v>49005</v>
      </c>
      <c r="D34" s="2152">
        <f>'Tab. 6B Polit społ i rozwój prz'!F31</f>
        <v>252234</v>
      </c>
      <c r="E34" s="2152">
        <f>'Tab. 6B Polit społ i rozwój prz'!G31</f>
        <v>127787</v>
      </c>
      <c r="F34" s="2152">
        <f>'Tab. 6B Polit społ i rozwój prz'!H31</f>
        <v>53703</v>
      </c>
      <c r="G34" s="2152">
        <f>'Tab. 6B Polit społ i rozwój prz'!I31</f>
        <v>16350</v>
      </c>
      <c r="H34" s="2152">
        <f>'Tab. 6B Polit społ i rozwój prz'!J31</f>
        <v>0</v>
      </c>
      <c r="I34" s="2152">
        <f>'Tab. 6B Polit społ i rozwój prz'!K31</f>
        <v>0</v>
      </c>
      <c r="J34" s="2152">
        <f>'Tab. 6B Polit społ i rozwój prz'!L31</f>
        <v>0</v>
      </c>
      <c r="K34" s="2148">
        <f>C34+D34+E34+F34+G34+H34+I34+J34</f>
        <v>499079</v>
      </c>
      <c r="L34" s="2149">
        <f>+D34+E34+F34+G34+H34+I34+J34</f>
        <v>450074</v>
      </c>
      <c r="M34" s="2145"/>
      <c r="N34" s="1624"/>
      <c r="O34" s="1624"/>
    </row>
    <row r="35" spans="1:15" s="1625" customFormat="1" ht="17.25" customHeight="1">
      <c r="A35" s="3752" t="s">
        <v>446</v>
      </c>
      <c r="B35" s="3753"/>
      <c r="C35" s="2150">
        <f>'Tab. 6B Polit społ i rozwój prz'!E44</f>
        <v>0</v>
      </c>
      <c r="D35" s="2150">
        <f>'Tab. 6B Polit społ i rozwój prz'!F44</f>
        <v>28480</v>
      </c>
      <c r="E35" s="2150">
        <f>'Tab. 6B Polit społ i rozwój prz'!G44</f>
        <v>175292</v>
      </c>
      <c r="F35" s="2150">
        <f>'Tab. 6B Polit społ i rozwój prz'!H44</f>
        <v>81239</v>
      </c>
      <c r="G35" s="2150">
        <f>'Tab. 6B Polit społ i rozwój prz'!I44</f>
        <v>76995</v>
      </c>
      <c r="H35" s="2150">
        <f>'Tab. 6B Polit społ i rozwój prz'!J44</f>
        <v>58811</v>
      </c>
      <c r="I35" s="2150">
        <f>'Tab. 6B Polit społ i rozwój prz'!K44</f>
        <v>0</v>
      </c>
      <c r="J35" s="2150">
        <f>'Tab. 6B Polit społ i rozwój prz'!L44</f>
        <v>0</v>
      </c>
      <c r="K35" s="2150">
        <f>+C35+D35+E35+F35+G35+H35+I35+J35</f>
        <v>420817</v>
      </c>
      <c r="L35" s="2151" t="s">
        <v>61</v>
      </c>
      <c r="M35" s="2145"/>
      <c r="N35" s="1624"/>
      <c r="O35" s="1624"/>
    </row>
    <row r="36" spans="1:15" s="2176" customFormat="1" ht="23.25" customHeight="1">
      <c r="A36" s="3746" t="s">
        <v>514</v>
      </c>
      <c r="B36" s="3747"/>
      <c r="C36" s="2152">
        <f>'Tab. 6H - Kultura fiz. i turyst'!E165+'Tab. 6H - Kultura fiz. i turyst'!E178+'Tab. 6H - Kultura fiz. i turyst'!E187+'Tab.6I - Planow. przestrz.'!E25+'Tab.6I - Planow. przestrz.'!E34+'Tab. 6H - Kultura fiz. i turyst'!E218+'Tab. 6H - Kultura fiz. i turyst'!E231+'Tab. 6H - Kultura fiz. i turyst'!E240</f>
        <v>349775</v>
      </c>
      <c r="D36" s="2152">
        <f>'Tab. 6H - Kultura fiz. i turyst'!F165+'Tab. 6H - Kultura fiz. i turyst'!F178+'Tab. 6H - Kultura fiz. i turyst'!F187+'Tab.6I - Planow. przestrz.'!F25+'Tab.6I - Planow. przestrz.'!F34+'Tab. 6H - Kultura fiz. i turyst'!F218+'Tab. 6H - Kultura fiz. i turyst'!F231+'Tab. 6H - Kultura fiz. i turyst'!F240</f>
        <v>1026605</v>
      </c>
      <c r="E36" s="2152">
        <f>'Tab. 6H - Kultura fiz. i turyst'!G165+'Tab. 6H - Kultura fiz. i turyst'!G178+'Tab. 6H - Kultura fiz. i turyst'!G187+'Tab.6I - Planow. przestrz.'!G25+'Tab.6I - Planow. przestrz.'!G34+'Tab. 6H - Kultura fiz. i turyst'!G218+'Tab. 6H - Kultura fiz. i turyst'!G231+'Tab. 6H - Kultura fiz. i turyst'!G240</f>
        <v>1950086</v>
      </c>
      <c r="F36" s="2152">
        <f>'Tab. 6H - Kultura fiz. i turyst'!H165+'Tab. 6H - Kultura fiz. i turyst'!H178+'Tab. 6H - Kultura fiz. i turyst'!H187+'Tab.6I - Planow. przestrz.'!H25+'Tab.6I - Planow. przestrz.'!H34+'Tab. 6H - Kultura fiz. i turyst'!H218+'Tab. 6H - Kultura fiz. i turyst'!H231+'Tab. 6H - Kultura fiz. i turyst'!H240</f>
        <v>1667718</v>
      </c>
      <c r="G36" s="2152">
        <f>'Tab. 6H - Kultura fiz. i turyst'!I165+'Tab. 6H - Kultura fiz. i turyst'!I178+'Tab. 6H - Kultura fiz. i turyst'!I187+'Tab.6I - Planow. przestrz.'!I25+'Tab.6I - Planow. przestrz.'!I34+'Tab. 6H - Kultura fiz. i turyst'!I218+'Tab. 6H - Kultura fiz. i turyst'!I231+'Tab. 6H - Kultura fiz. i turyst'!I240</f>
        <v>156028</v>
      </c>
      <c r="H36" s="2152">
        <f>'Tab. 6H - Kultura fiz. i turyst'!J165+'Tab. 6H - Kultura fiz. i turyst'!J178+'Tab. 6H - Kultura fiz. i turyst'!J187+'Tab.6I - Planow. przestrz.'!J25+'Tab.6I - Planow. przestrz.'!J34+'Tab. 6H - Kultura fiz. i turyst'!J218+'Tab. 6H - Kultura fiz. i turyst'!J231+'Tab. 6H - Kultura fiz. i turyst'!J240</f>
        <v>0</v>
      </c>
      <c r="I36" s="2152">
        <f>'Tab. 6H - Kultura fiz. i turyst'!K165+'Tab. 6H - Kultura fiz. i turyst'!K178+'Tab. 6H - Kultura fiz. i turyst'!K187+'Tab.6I - Planow. przestrz.'!K25+'Tab.6I - Planow. przestrz.'!K34+'Tab. 6H - Kultura fiz. i turyst'!K218+'Tab. 6H - Kultura fiz. i turyst'!K231+'Tab. 6H - Kultura fiz. i turyst'!K240</f>
        <v>0</v>
      </c>
      <c r="J36" s="2152">
        <f>'Tab. 6H - Kultura fiz. i turyst'!L165+'Tab. 6H - Kultura fiz. i turyst'!L178+'Tab. 6H - Kultura fiz. i turyst'!L187+'Tab.6I - Planow. przestrz.'!L25+'Tab.6I - Planow. przestrz.'!L34+'Tab. 6H - Kultura fiz. i turyst'!L218+'Tab. 6H - Kultura fiz. i turyst'!L231+'Tab. 6H - Kultura fiz. i turyst'!L240</f>
        <v>0</v>
      </c>
      <c r="K36" s="2148">
        <f>C36+D36+E36+F36+G36+H36+I36+J36</f>
        <v>5150212</v>
      </c>
      <c r="L36" s="2149">
        <f>+D36+E36+F36+G36+H36+I36+J36</f>
        <v>4800437</v>
      </c>
      <c r="M36" s="2174"/>
      <c r="N36" s="2175"/>
      <c r="O36" s="2175"/>
    </row>
    <row r="37" spans="1:15" s="2176" customFormat="1" ht="26.25" customHeight="1">
      <c r="A37" s="3748" t="s">
        <v>517</v>
      </c>
      <c r="B37" s="3749"/>
      <c r="C37" s="2150">
        <f>'Tab. 6H - Kultura fiz. i turyst'!E174+'Tab. 6H - Kultura fiz. i turyst'!E183+'Tab. 6H - Kultura fiz. i turyst'!E196+'Tab.6I - Planow. przestrz.'!E30+'Tab.6I - Planow. przestrz.'!E39+'Tab. 6H - Kultura fiz. i turyst'!E227+'Tab. 6H - Kultura fiz. i turyst'!E236+'Tab. 6H - Kultura fiz. i turyst'!E249</f>
        <v>0</v>
      </c>
      <c r="D37" s="2150">
        <f>'Tab. 6H - Kultura fiz. i turyst'!F174+'Tab. 6H - Kultura fiz. i turyst'!F183+'Tab. 6H - Kultura fiz. i turyst'!F196+'Tab.6I - Planow. przestrz.'!F30+'Tab.6I - Planow. przestrz.'!F39+'Tab. 6H - Kultura fiz. i turyst'!F227+'Tab. 6H - Kultura fiz. i turyst'!F236+'Tab. 6H - Kultura fiz. i turyst'!F249</f>
        <v>343504</v>
      </c>
      <c r="E37" s="2150">
        <f>'Tab. 6H - Kultura fiz. i turyst'!G174+'Tab. 6H - Kultura fiz. i turyst'!G183+'Tab. 6H - Kultura fiz. i turyst'!G196+'Tab.6I - Planow. przestrz.'!G30+'Tab.6I - Planow. przestrz.'!G39+'Tab. 6H - Kultura fiz. i turyst'!G227+'Tab. 6H - Kultura fiz. i turyst'!G236+'Tab. 6H - Kultura fiz. i turyst'!G249</f>
        <v>1204975</v>
      </c>
      <c r="F37" s="2150">
        <f>'Tab. 6H - Kultura fiz. i turyst'!H174+'Tab. 6H - Kultura fiz. i turyst'!H183+'Tab. 6H - Kultura fiz. i turyst'!H196+'Tab.6I - Planow. przestrz.'!H30+'Tab.6I - Planow. przestrz.'!H39+'Tab. 6H - Kultura fiz. i turyst'!H227+'Tab. 6H - Kultura fiz. i turyst'!H236+'Tab. 6H - Kultura fiz. i turyst'!H249</f>
        <v>2062125</v>
      </c>
      <c r="G37" s="2150">
        <f>'Tab. 6H - Kultura fiz. i turyst'!I174+'Tab. 6H - Kultura fiz. i turyst'!I183+'Tab. 6H - Kultura fiz. i turyst'!I196+'Tab.6I - Planow. przestrz.'!I30+'Tab.6I - Planow. przestrz.'!I39+'Tab. 6H - Kultura fiz. i turyst'!I227+'Tab. 6H - Kultura fiz. i turyst'!I236+'Tab. 6H - Kultura fiz. i turyst'!I249</f>
        <v>703926</v>
      </c>
      <c r="H37" s="2150">
        <f>'Tab. 6H - Kultura fiz. i turyst'!J174+'Tab. 6H - Kultura fiz. i turyst'!J183+'Tab. 6H - Kultura fiz. i turyst'!J196+'Tab.6I - Planow. przestrz.'!J30+'Tab.6I - Planow. przestrz.'!J39+'Tab. 6H - Kultura fiz. i turyst'!J227+'Tab. 6H - Kultura fiz. i turyst'!J236+'Tab. 6H - Kultura fiz. i turyst'!J249</f>
        <v>47352</v>
      </c>
      <c r="I37" s="2150">
        <f>'Tab. 6H - Kultura fiz. i turyst'!K174+'Tab. 6H - Kultura fiz. i turyst'!K183+'Tab. 6H - Kultura fiz. i turyst'!K196+'Tab.6I - Planow. przestrz.'!K30+'Tab.6I - Planow. przestrz.'!K39+'Tab. 6H - Kultura fiz. i turyst'!K227+'Tab. 6H - Kultura fiz. i turyst'!K236+'Tab. 6H - Kultura fiz. i turyst'!K249</f>
        <v>0</v>
      </c>
      <c r="J37" s="2150">
        <f>'Tab. 6H - Kultura fiz. i turyst'!L174+'Tab. 6H - Kultura fiz. i turyst'!L183+'Tab. 6H - Kultura fiz. i turyst'!L196+'Tab.6I - Planow. przestrz.'!L30+'Tab.6I - Planow. przestrz.'!L39+'Tab. 6H - Kultura fiz. i turyst'!L227+'Tab. 6H - Kultura fiz. i turyst'!L236+'Tab. 6H - Kultura fiz. i turyst'!L249</f>
        <v>0</v>
      </c>
      <c r="K37" s="2840">
        <f>+C37+D37+E37+F37+G37+H37+I37+J37</f>
        <v>4361882</v>
      </c>
      <c r="L37" s="2153" t="s">
        <v>61</v>
      </c>
      <c r="M37" s="2174"/>
      <c r="N37" s="2175"/>
      <c r="O37" s="2175"/>
    </row>
    <row r="38" spans="1:15" s="1554" customFormat="1" ht="48" customHeight="1" thickBot="1">
      <c r="A38" s="3738" t="s">
        <v>503</v>
      </c>
      <c r="B38" s="3739"/>
      <c r="C38" s="2154">
        <f>+'Tab. 6D - Oświata'!E22+'Tab. 6D - Oświata'!E33+'Tab. 6D - Oświata'!E44+'Tab. 6G - Roln i ochrona środ.'!E130</f>
        <v>593887</v>
      </c>
      <c r="D38" s="2154">
        <f>+'Tab. 6D - Oświata'!F22+'Tab. 6D - Oświata'!F33+'Tab. 6D - Oświata'!F44+'Tab. 6G - Roln i ochrona środ.'!F130</f>
        <v>152213</v>
      </c>
      <c r="E38" s="2154">
        <f>+'Tab. 6D - Oświata'!G22+'Tab. 6D - Oświata'!G33+'Tab. 6D - Oświata'!G44+'Tab. 6G - Roln i ochrona środ.'!G130</f>
        <v>0</v>
      </c>
      <c r="F38" s="2154">
        <f>+'Tab. 6D - Oświata'!H22+'Tab. 6D - Oświata'!H33+'Tab. 6D - Oświata'!H44+'Tab. 6G - Roln i ochrona środ.'!H130</f>
        <v>0</v>
      </c>
      <c r="G38" s="2154">
        <f>+'Tab. 6D - Oświata'!I22+'Tab. 6D - Oświata'!I33+'Tab. 6D - Oświata'!I44+'Tab. 6G - Roln i ochrona środ.'!I130</f>
        <v>0</v>
      </c>
      <c r="H38" s="2154">
        <f>+'Tab. 6D - Oświata'!J22+'Tab. 6D - Oświata'!J33+'Tab. 6D - Oświata'!J44+'Tab. 6G - Roln i ochrona środ.'!J130</f>
        <v>0</v>
      </c>
      <c r="I38" s="2154">
        <f>+'Tab. 6D - Oświata'!K22+'Tab. 6D - Oświata'!K33+'Tab. 6D - Oświata'!K44+'Tab. 6G - Roln i ochrona środ.'!K130</f>
        <v>0</v>
      </c>
      <c r="J38" s="2154">
        <f>+'Tab. 6D - Oświata'!L22+'Tab. 6D - Oświata'!L33+'Tab. 6D - Oświata'!L44+'Tab. 6G - Roln i ochrona środ.'!L130</f>
        <v>0</v>
      </c>
      <c r="K38" s="2154">
        <f>C38+D38+E38+F38+G38+H38+I38+J38</f>
        <v>746100</v>
      </c>
      <c r="L38" s="2155">
        <f>D38+E38+F38+G38+H38+I38+J38</f>
        <v>152213</v>
      </c>
      <c r="M38" s="2142"/>
      <c r="N38" s="1585"/>
      <c r="O38" s="1585"/>
    </row>
    <row r="39" spans="1:15" s="1554" customFormat="1" ht="48" customHeight="1" thickBot="1">
      <c r="A39" s="3732" t="s">
        <v>504</v>
      </c>
      <c r="B39" s="3733"/>
      <c r="C39" s="2143">
        <f>+'Tab. 6D - Oświata'!E27+'Tab. 6D - Oświata'!E38+'Tab. 6D - Oświata'!E47+'Tab. 6G - Roln i ochrona środ.'!E133</f>
        <v>291312</v>
      </c>
      <c r="D39" s="2143">
        <f>+'Tab. 6D - Oświata'!F27+'Tab. 6D - Oświata'!F38+'Tab. 6D - Oświata'!F47+'Tab. 6G - Roln i ochrona środ.'!F133</f>
        <v>80296</v>
      </c>
      <c r="E39" s="2143">
        <f>+'Tab. 6D - Oświata'!G27+'Tab. 6D - Oświata'!G38+'Tab. 6D - Oświata'!G47+'Tab. 6G - Roln i ochrona środ.'!G133</f>
        <v>25077</v>
      </c>
      <c r="F39" s="2143">
        <f>+'Tab. 6D - Oświata'!H27+'Tab. 6D - Oświata'!H38+'Tab. 6D - Oświata'!H47+'Tab. 6G - Roln i ochrona środ.'!H133</f>
        <v>0</v>
      </c>
      <c r="G39" s="2143">
        <f>+'Tab. 6D - Oświata'!I27+'Tab. 6D - Oświata'!I38+'Tab. 6D - Oświata'!I47+'Tab. 6G - Roln i ochrona środ.'!I133</f>
        <v>0</v>
      </c>
      <c r="H39" s="2143">
        <f>+'Tab. 6D - Oświata'!J27+'Tab. 6D - Oświata'!J38+'Tab. 6D - Oświata'!J47+'Tab. 6G - Roln i ochrona środ.'!J133</f>
        <v>0</v>
      </c>
      <c r="I39" s="2143">
        <f>+'Tab. 6D - Oświata'!K27+'Tab. 6D - Oświata'!K38+'Tab. 6D - Oświata'!K47+'Tab. 6G - Roln i ochrona środ.'!K133</f>
        <v>0</v>
      </c>
      <c r="J39" s="2143">
        <f>+'Tab. 6D - Oświata'!L27+'Tab. 6D - Oświata'!L38+'Tab. 6D - Oświata'!L47+'Tab. 6G - Roln i ochrona środ.'!L133</f>
        <v>0</v>
      </c>
      <c r="K39" s="2143">
        <f>+C39+D39+E39+F39+G39+H39+I39+J39</f>
        <v>396685</v>
      </c>
      <c r="L39" s="2144" t="s">
        <v>61</v>
      </c>
      <c r="M39" s="2142"/>
      <c r="N39" s="1585"/>
      <c r="O39" s="1585"/>
    </row>
    <row r="40" spans="1:15" s="1554" customFormat="1" ht="35.25" customHeight="1" thickBot="1">
      <c r="A40" s="3738" t="s">
        <v>244</v>
      </c>
      <c r="B40" s="3739"/>
      <c r="C40" s="2154">
        <f>'Tab. 6D - Oświata'!E51+'Tab. 6A -Drogi'!E577+'Tab. 6D - Oświata'!E65+'Tab. 6D - Oświata'!E60</f>
        <v>25303</v>
      </c>
      <c r="D40" s="2154">
        <f>'Tab. 6D - Oświata'!F51+'Tab. 6A -Drogi'!F577+'Tab. 6D - Oświata'!F65+'Tab. 6D - Oświata'!F60</f>
        <v>11597</v>
      </c>
      <c r="E40" s="2154">
        <f>'Tab. 6D - Oświata'!G51+'Tab. 6A -Drogi'!G577+'Tab. 6D - Oświata'!G65+'Tab. 6D - Oświata'!G60</f>
        <v>0</v>
      </c>
      <c r="F40" s="2154">
        <f>'Tab. 6D - Oświata'!H51+'Tab. 6A -Drogi'!H577+'Tab. 6D - Oświata'!H65+'Tab. 6D - Oświata'!H60</f>
        <v>0</v>
      </c>
      <c r="G40" s="2154">
        <f>'Tab. 6D - Oświata'!I51+'Tab. 6A -Drogi'!I577+'Tab. 6D - Oświata'!I65+'Tab. 6D - Oświata'!I60</f>
        <v>0</v>
      </c>
      <c r="H40" s="2154">
        <f>'Tab. 6D - Oświata'!J51+'Tab. 6A -Drogi'!J577+'Tab. 6D - Oświata'!J65+'Tab. 6D - Oświata'!J60</f>
        <v>0</v>
      </c>
      <c r="I40" s="2154">
        <f>'Tab. 6D - Oświata'!K51+'Tab. 6A -Drogi'!K577+'Tab. 6D - Oświata'!K65+'Tab. 6D - Oświata'!K60</f>
        <v>0</v>
      </c>
      <c r="J40" s="2154">
        <f>'Tab. 6D - Oświata'!L51+'Tab. 6A -Drogi'!L577+'Tab. 6D - Oświata'!L65+'Tab. 6D - Oświata'!L60</f>
        <v>0</v>
      </c>
      <c r="K40" s="2140">
        <f>C40+D40+E40+F40+G40+H40+I40+J40</f>
        <v>36900</v>
      </c>
      <c r="L40" s="2141">
        <f>+D40+E40+F40+G40+H40+I40+J40</f>
        <v>11597</v>
      </c>
      <c r="M40" s="2142"/>
      <c r="N40" s="1585"/>
      <c r="O40" s="1585"/>
    </row>
    <row r="41" spans="1:15" s="1554" customFormat="1" ht="35.25" customHeight="1" thickBot="1">
      <c r="A41" s="3732" t="s">
        <v>245</v>
      </c>
      <c r="B41" s="3733"/>
      <c r="C41" s="2143">
        <f>'Tab. 6D - Oświata'!E54+'Tab. 6A -Drogi'!E582+'Tab. 6D - Oświata'!E68+'Tab. 6D - Oświata'!E61</f>
        <v>25303</v>
      </c>
      <c r="D41" s="2143">
        <f>'Tab. 6D - Oświata'!F54+'Tab. 6A -Drogi'!F582+'Tab. 6D - Oświata'!F68+'Tab. 6D - Oświata'!F61</f>
        <v>11597</v>
      </c>
      <c r="E41" s="2143">
        <f>'Tab. 6D - Oświata'!G54+'Tab. 6A -Drogi'!G582+'Tab. 6D - Oświata'!G68+'Tab. 6D - Oświata'!G61</f>
        <v>0</v>
      </c>
      <c r="F41" s="2143">
        <f>'Tab. 6D - Oświata'!H54+'Tab. 6A -Drogi'!H582+'Tab. 6D - Oświata'!H68+'Tab. 6D - Oświata'!H61</f>
        <v>0</v>
      </c>
      <c r="G41" s="2143">
        <f>'Tab. 6D - Oświata'!I54+'Tab. 6A -Drogi'!I582+'Tab. 6D - Oświata'!I68+'Tab. 6D - Oświata'!I61</f>
        <v>0</v>
      </c>
      <c r="H41" s="2143">
        <f>'Tab. 6D - Oświata'!J54+'Tab. 6A -Drogi'!J582+'Tab. 6D - Oświata'!J68+'Tab. 6D - Oświata'!J61</f>
        <v>0</v>
      </c>
      <c r="I41" s="2143">
        <f>'Tab. 6D - Oświata'!K54+'Tab. 6A -Drogi'!K582+'Tab. 6D - Oświata'!K68+'Tab. 6D - Oświata'!K61</f>
        <v>0</v>
      </c>
      <c r="J41" s="2143">
        <f>'Tab. 6D - Oświata'!L54+'Tab. 6A -Drogi'!L582+'Tab. 6D - Oświata'!L68+'Tab. 6D - Oświata'!L61</f>
        <v>0</v>
      </c>
      <c r="K41" s="2143">
        <f>+C41+D41+E41+F41+G41+H41+I41+J41</f>
        <v>36900</v>
      </c>
      <c r="L41" s="2144" t="s">
        <v>61</v>
      </c>
      <c r="M41" s="2142"/>
      <c r="N41" s="1585"/>
      <c r="O41" s="1585"/>
    </row>
    <row r="42" spans="1:15" ht="13.5" thickBot="1">
      <c r="B42" s="1513"/>
      <c r="K42" s="1513"/>
      <c r="L42" s="1513"/>
    </row>
    <row r="43" spans="1:15" s="1554" customFormat="1" ht="21.75" customHeight="1" thickBot="1">
      <c r="A43" s="3730" t="s">
        <v>215</v>
      </c>
      <c r="B43" s="3731"/>
      <c r="C43" s="2140">
        <f t="shared" ref="C43:J43" si="5">C7+C9+C11+C13+C15+C17+C19+C21+C25+C38+C23+C40</f>
        <v>249106825</v>
      </c>
      <c r="D43" s="2140">
        <f t="shared" si="5"/>
        <v>329309739</v>
      </c>
      <c r="E43" s="2140">
        <f t="shared" si="5"/>
        <v>522669967</v>
      </c>
      <c r="F43" s="2140">
        <f t="shared" si="5"/>
        <v>117767144</v>
      </c>
      <c r="G43" s="2140">
        <f t="shared" si="5"/>
        <v>73356066</v>
      </c>
      <c r="H43" s="2140">
        <f t="shared" si="5"/>
        <v>39747415</v>
      </c>
      <c r="I43" s="2140">
        <f t="shared" si="5"/>
        <v>37602290</v>
      </c>
      <c r="J43" s="2140">
        <f t="shared" si="5"/>
        <v>35477024</v>
      </c>
      <c r="K43" s="2140">
        <f>K7+K9+K11+K13+K15+K17+K19+K21+K25+K38+K23+K40</f>
        <v>1405036470</v>
      </c>
      <c r="L43" s="2141">
        <f>+D43+E43+F43+G43+H43+I43+J43</f>
        <v>1155929645</v>
      </c>
      <c r="M43" s="1586"/>
      <c r="N43" s="1585"/>
      <c r="O43" s="1585"/>
    </row>
    <row r="44" spans="1:15" s="1554" customFormat="1" ht="21.75" customHeight="1" thickBot="1">
      <c r="A44" s="3732" t="s">
        <v>216</v>
      </c>
      <c r="B44" s="3733"/>
      <c r="C44" s="2143">
        <f t="shared" ref="C44:J44" si="6">C8+C10+C12+C14+C16+C18+C20+C22+C26+C39+C24+C41</f>
        <v>216664228</v>
      </c>
      <c r="D44" s="2143">
        <f t="shared" si="6"/>
        <v>260653426.69999999</v>
      </c>
      <c r="E44" s="2143">
        <f t="shared" si="6"/>
        <v>447391776</v>
      </c>
      <c r="F44" s="2143">
        <f t="shared" si="6"/>
        <v>111347940</v>
      </c>
      <c r="G44" s="2143">
        <f t="shared" si="6"/>
        <v>59406597</v>
      </c>
      <c r="H44" s="2143">
        <f t="shared" si="6"/>
        <v>33757647</v>
      </c>
      <c r="I44" s="2143">
        <f t="shared" si="6"/>
        <v>33201723</v>
      </c>
      <c r="J44" s="2143">
        <f t="shared" si="6"/>
        <v>31488520</v>
      </c>
      <c r="K44" s="2143">
        <f>+K41+K39+K26+K24+K20+K18+K14+K8</f>
        <v>1195941292.7</v>
      </c>
      <c r="L44" s="2144" t="s">
        <v>61</v>
      </c>
      <c r="M44" s="1586"/>
      <c r="N44" s="1585"/>
      <c r="O44" s="1585"/>
    </row>
    <row r="45" spans="1:15">
      <c r="B45" s="1513"/>
      <c r="K45" s="1513"/>
      <c r="L45" s="1513"/>
    </row>
    <row r="46" spans="1:15" hidden="1">
      <c r="A46" s="1513" t="s">
        <v>217</v>
      </c>
      <c r="C46" s="2158">
        <f>+'Tabela nr 6'!B48</f>
        <v>249106825.30000001</v>
      </c>
      <c r="D46" s="1520">
        <f>+'Tabela nr 6'!C48</f>
        <v>329309739</v>
      </c>
      <c r="E46" s="1520">
        <f>+'Tabela nr 6'!D48</f>
        <v>522669967</v>
      </c>
      <c r="F46" s="1520">
        <f>+'Tabela nr 6'!E48</f>
        <v>117767144</v>
      </c>
      <c r="G46" s="1520">
        <f>+'Tabela nr 6'!F48</f>
        <v>73356066</v>
      </c>
      <c r="H46" s="1520">
        <f>+'Tabela nr 6'!G48</f>
        <v>39747415</v>
      </c>
      <c r="I46" s="1520">
        <f>+'Tabela nr 6'!H48</f>
        <v>37602290</v>
      </c>
      <c r="J46" s="1520">
        <f>+'Tabela nr 6'!I48</f>
        <v>35477024</v>
      </c>
      <c r="K46" s="1520">
        <f>+'Tabela nr 6'!J48</f>
        <v>1405036470.3</v>
      </c>
      <c r="L46" s="1520">
        <f>'Tabela nr 6'!K12</f>
        <v>1155929645</v>
      </c>
    </row>
    <row r="47" spans="1:15" hidden="1">
      <c r="A47" s="1513" t="s">
        <v>218</v>
      </c>
      <c r="C47" s="2158">
        <f>+'Tabela nr 6'!B49</f>
        <v>216664228</v>
      </c>
      <c r="D47" s="1520">
        <f>+'Tabela nr 6'!C49</f>
        <v>260653426.69999999</v>
      </c>
      <c r="E47" s="1520">
        <f>+'Tabela nr 6'!D49</f>
        <v>447391776</v>
      </c>
      <c r="F47" s="1520">
        <f>+'Tabela nr 6'!E49</f>
        <v>111347940</v>
      </c>
      <c r="G47" s="1520">
        <f>+'Tabela nr 6'!F49</f>
        <v>59406597</v>
      </c>
      <c r="H47" s="1520">
        <f>+'Tabela nr 6'!G49</f>
        <v>33757647</v>
      </c>
      <c r="I47" s="1520">
        <f>+'Tabela nr 6'!H49</f>
        <v>33201723</v>
      </c>
      <c r="J47" s="1520">
        <f>+'Tabela nr 6'!I49</f>
        <v>31488520</v>
      </c>
      <c r="K47" s="1520">
        <f>+'Tabela nr 6'!J49</f>
        <v>1195941292.6999998</v>
      </c>
      <c r="L47" s="2159"/>
    </row>
    <row r="48" spans="1:15" hidden="1">
      <c r="B48" s="2763" t="s">
        <v>219</v>
      </c>
      <c r="K48" s="1513"/>
      <c r="L48" s="1513"/>
    </row>
    <row r="49" spans="1:15" hidden="1">
      <c r="B49" s="2761" t="s">
        <v>558</v>
      </c>
      <c r="C49" s="2158">
        <f>+C43-C46</f>
        <v>-0.30000001192092896</v>
      </c>
      <c r="D49" s="1520">
        <f t="shared" ref="D49:L49" si="7">+D43-D46</f>
        <v>0</v>
      </c>
      <c r="E49" s="1520">
        <f t="shared" si="7"/>
        <v>0</v>
      </c>
      <c r="F49" s="1520">
        <f t="shared" si="7"/>
        <v>0</v>
      </c>
      <c r="G49" s="1520">
        <f t="shared" si="7"/>
        <v>0</v>
      </c>
      <c r="H49" s="1520">
        <f t="shared" si="7"/>
        <v>0</v>
      </c>
      <c r="I49" s="1520">
        <f t="shared" si="7"/>
        <v>0</v>
      </c>
      <c r="J49" s="1520">
        <f t="shared" si="7"/>
        <v>0</v>
      </c>
      <c r="K49" s="1520">
        <f t="shared" si="7"/>
        <v>-0.29999995231628418</v>
      </c>
      <c r="L49" s="1520">
        <f t="shared" si="7"/>
        <v>0</v>
      </c>
    </row>
    <row r="50" spans="1:15" hidden="1">
      <c r="B50" s="2762" t="s">
        <v>559</v>
      </c>
      <c r="C50" s="2158">
        <f>+C44-C47</f>
        <v>0</v>
      </c>
      <c r="D50" s="1520">
        <f t="shared" ref="D50:J50" si="8">+D44-D47</f>
        <v>0</v>
      </c>
      <c r="E50" s="1520">
        <f t="shared" si="8"/>
        <v>0</v>
      </c>
      <c r="F50" s="1520">
        <f t="shared" si="8"/>
        <v>0</v>
      </c>
      <c r="G50" s="1520">
        <f t="shared" si="8"/>
        <v>0</v>
      </c>
      <c r="H50" s="1520">
        <f t="shared" si="8"/>
        <v>0</v>
      </c>
      <c r="I50" s="1520">
        <f t="shared" si="8"/>
        <v>0</v>
      </c>
      <c r="J50" s="1520">
        <f t="shared" si="8"/>
        <v>0</v>
      </c>
      <c r="K50" s="1520">
        <f>+K44-K47</f>
        <v>0</v>
      </c>
      <c r="L50" s="1520">
        <v>0</v>
      </c>
    </row>
    <row r="51" spans="1:15">
      <c r="B51" s="1513"/>
      <c r="C51" s="2158"/>
      <c r="K51" s="1513"/>
      <c r="L51" s="1513"/>
      <c r="M51" s="1512"/>
      <c r="N51" s="1512"/>
      <c r="O51" s="1512"/>
    </row>
    <row r="52" spans="1:15">
      <c r="B52" s="1513"/>
      <c r="C52" s="2158"/>
      <c r="K52" s="1513"/>
      <c r="L52" s="1513"/>
      <c r="M52" s="1512"/>
      <c r="N52" s="1512"/>
      <c r="O52" s="1512"/>
    </row>
    <row r="53" spans="1:15">
      <c r="A53" s="2160"/>
      <c r="B53" s="1513"/>
      <c r="C53" s="2158"/>
      <c r="F53" s="1520"/>
      <c r="K53" s="1513"/>
      <c r="L53" s="1513"/>
      <c r="M53" s="1512"/>
      <c r="N53" s="1512"/>
      <c r="O53" s="1512"/>
    </row>
    <row r="54" spans="1:15" ht="23.25" customHeight="1">
      <c r="B54" s="2161"/>
      <c r="C54" s="2158"/>
      <c r="E54" s="1520"/>
      <c r="K54" s="1513"/>
      <c r="L54" s="1513"/>
      <c r="M54" s="1512"/>
      <c r="N54" s="1512"/>
      <c r="O54" s="1512"/>
    </row>
    <row r="55" spans="1:15">
      <c r="B55" s="1513"/>
      <c r="C55" s="2158"/>
      <c r="K55" s="1513"/>
      <c r="L55" s="1513"/>
      <c r="M55" s="1512"/>
      <c r="N55" s="1512"/>
      <c r="O55" s="1512"/>
    </row>
    <row r="56" spans="1:15">
      <c r="A56" s="2162"/>
      <c r="B56" s="1513"/>
      <c r="C56" s="2158"/>
      <c r="K56" s="1513"/>
      <c r="L56" s="1513"/>
      <c r="M56" s="1512"/>
      <c r="N56" s="1512"/>
      <c r="O56" s="1512"/>
    </row>
    <row r="57" spans="1:15">
      <c r="B57" s="1513"/>
      <c r="C57" s="2158"/>
      <c r="K57" s="1513"/>
      <c r="L57" s="1513"/>
      <c r="M57" s="1512"/>
      <c r="N57" s="1512"/>
      <c r="O57" s="1512"/>
    </row>
    <row r="58" spans="1:15">
      <c r="B58" s="1513"/>
      <c r="K58" s="1513"/>
      <c r="L58" s="1513"/>
      <c r="M58" s="1512"/>
      <c r="N58" s="1512"/>
      <c r="O58" s="1512"/>
    </row>
    <row r="59" spans="1:15">
      <c r="B59" s="1513"/>
      <c r="K59" s="1513"/>
      <c r="L59" s="1513"/>
      <c r="M59" s="1512"/>
      <c r="N59" s="1512"/>
      <c r="O59" s="1512"/>
    </row>
    <row r="60" spans="1:15">
      <c r="B60" s="1513"/>
      <c r="K60" s="1513"/>
      <c r="L60" s="1513"/>
      <c r="M60" s="1512"/>
      <c r="N60" s="1512"/>
      <c r="O60" s="1512"/>
    </row>
    <row r="61" spans="1:15">
      <c r="A61" s="2162"/>
      <c r="B61" s="1513"/>
      <c r="K61" s="1513"/>
      <c r="L61" s="1513"/>
      <c r="M61" s="1512"/>
      <c r="N61" s="1512"/>
      <c r="O61" s="1512"/>
    </row>
    <row r="62" spans="1:15">
      <c r="B62" s="2161"/>
      <c r="K62" s="1513"/>
      <c r="L62" s="1513"/>
      <c r="M62" s="1512"/>
      <c r="N62" s="1512"/>
      <c r="O62" s="1512"/>
    </row>
    <row r="63" spans="1:15">
      <c r="B63" s="1513"/>
      <c r="K63" s="1513"/>
      <c r="L63" s="1513"/>
      <c r="M63" s="1512"/>
      <c r="N63" s="1512"/>
      <c r="O63" s="1512"/>
    </row>
    <row r="64" spans="1:15">
      <c r="B64" s="1513"/>
      <c r="K64" s="1513"/>
      <c r="L64" s="1513"/>
      <c r="M64" s="1512"/>
      <c r="N64" s="1512"/>
      <c r="O64" s="1512"/>
    </row>
    <row r="65" spans="1:15">
      <c r="A65" s="1512"/>
      <c r="B65" s="1513"/>
      <c r="K65" s="1513"/>
      <c r="L65" s="1513"/>
      <c r="M65" s="1512"/>
      <c r="N65" s="1512"/>
      <c r="O65" s="1512"/>
    </row>
    <row r="66" spans="1:15">
      <c r="A66" s="1512"/>
      <c r="B66" s="1513"/>
      <c r="K66" s="1513"/>
      <c r="L66" s="1513"/>
      <c r="M66" s="1512"/>
      <c r="N66" s="1512"/>
      <c r="O66" s="1512"/>
    </row>
    <row r="67" spans="1:15">
      <c r="A67" s="1512"/>
      <c r="B67" s="1513"/>
      <c r="K67" s="1513"/>
      <c r="L67" s="1513"/>
      <c r="M67" s="1512"/>
      <c r="N67" s="1512"/>
      <c r="O67" s="1512"/>
    </row>
    <row r="68" spans="1:15">
      <c r="A68" s="1512"/>
      <c r="B68" s="1513"/>
      <c r="K68" s="1513"/>
      <c r="L68" s="1513"/>
      <c r="M68" s="1512"/>
      <c r="N68" s="1512"/>
      <c r="O68" s="1512"/>
    </row>
    <row r="69" spans="1:15">
      <c r="A69" s="1512"/>
      <c r="B69" s="1513"/>
      <c r="K69" s="1513"/>
      <c r="L69" s="1513"/>
      <c r="M69" s="1512"/>
      <c r="N69" s="1512"/>
      <c r="O69" s="1512"/>
    </row>
    <row r="70" spans="1:15">
      <c r="A70" s="1512"/>
      <c r="B70" s="1513"/>
      <c r="K70" s="1513"/>
      <c r="L70" s="1513"/>
      <c r="M70" s="1512"/>
      <c r="N70" s="1512"/>
      <c r="O70" s="1512"/>
    </row>
    <row r="71" spans="1:15">
      <c r="A71" s="1512"/>
      <c r="B71" s="1513"/>
      <c r="K71" s="1513"/>
      <c r="L71" s="1513"/>
      <c r="M71" s="1512"/>
      <c r="N71" s="1512"/>
      <c r="O71" s="1512"/>
    </row>
    <row r="72" spans="1:15">
      <c r="A72" s="1512"/>
      <c r="B72" s="1513"/>
      <c r="K72" s="1513"/>
      <c r="L72" s="1513"/>
      <c r="M72" s="1512"/>
      <c r="N72" s="1512"/>
      <c r="O72" s="1512"/>
    </row>
    <row r="73" spans="1:15">
      <c r="A73" s="1512"/>
      <c r="B73" s="1513"/>
      <c r="K73" s="1513"/>
      <c r="L73" s="1513"/>
      <c r="M73" s="1512"/>
      <c r="N73" s="1512"/>
      <c r="O73" s="1512"/>
    </row>
    <row r="74" spans="1:15">
      <c r="A74" s="1512"/>
      <c r="B74" s="1513"/>
      <c r="K74" s="1513"/>
      <c r="L74" s="1513"/>
      <c r="M74" s="1512"/>
      <c r="N74" s="1512"/>
      <c r="O74" s="1512"/>
    </row>
    <row r="75" spans="1:15" ht="13.5" customHeight="1">
      <c r="A75" s="1512"/>
      <c r="B75" s="1513"/>
      <c r="K75" s="1513"/>
      <c r="L75" s="1513"/>
      <c r="M75" s="1512"/>
      <c r="N75" s="1512"/>
      <c r="O75" s="1512"/>
    </row>
    <row r="76" spans="1:15">
      <c r="A76" s="1512"/>
      <c r="B76" s="1513"/>
      <c r="K76" s="1513"/>
      <c r="L76" s="1513"/>
      <c r="M76" s="1512"/>
      <c r="N76" s="1512"/>
      <c r="O76" s="1512"/>
    </row>
    <row r="77" spans="1:15">
      <c r="A77" s="1512"/>
      <c r="B77" s="1513"/>
      <c r="K77" s="1513"/>
      <c r="L77" s="1513"/>
      <c r="M77" s="1512"/>
      <c r="N77" s="1512"/>
      <c r="O77" s="1512"/>
    </row>
    <row r="78" spans="1:15">
      <c r="A78" s="1512"/>
      <c r="B78" s="1513"/>
      <c r="K78" s="1513"/>
      <c r="L78" s="1513"/>
      <c r="M78" s="1512"/>
      <c r="N78" s="1512"/>
      <c r="O78" s="1512"/>
    </row>
    <row r="79" spans="1:15">
      <c r="A79" s="1512"/>
      <c r="B79" s="1513"/>
      <c r="K79" s="1513"/>
      <c r="L79" s="1513"/>
      <c r="M79" s="1512"/>
      <c r="N79" s="1512"/>
      <c r="O79" s="1512"/>
    </row>
    <row r="80" spans="1:15">
      <c r="A80" s="1512"/>
      <c r="B80" s="1513"/>
      <c r="K80" s="1513"/>
      <c r="L80" s="1513"/>
      <c r="M80" s="1512"/>
      <c r="N80" s="1512"/>
      <c r="O80" s="1512"/>
    </row>
    <row r="81" spans="1:15">
      <c r="A81" s="1512"/>
      <c r="B81" s="1513"/>
      <c r="K81" s="1513"/>
      <c r="L81" s="1513"/>
      <c r="M81" s="1512"/>
      <c r="N81" s="1512"/>
      <c r="O81" s="1512"/>
    </row>
    <row r="82" spans="1:15">
      <c r="A82" s="1512"/>
      <c r="B82" s="1513"/>
      <c r="K82" s="1513"/>
      <c r="L82" s="1513"/>
      <c r="M82" s="1512"/>
      <c r="N82" s="1512"/>
      <c r="O82" s="1512"/>
    </row>
    <row r="83" spans="1:15">
      <c r="A83" s="1512"/>
      <c r="B83" s="1513"/>
      <c r="K83" s="1513"/>
      <c r="L83" s="1513"/>
      <c r="M83" s="1512"/>
      <c r="N83" s="1512"/>
      <c r="O83" s="1512"/>
    </row>
    <row r="84" spans="1:15">
      <c r="A84" s="1512"/>
      <c r="B84" s="1513"/>
      <c r="K84" s="1513"/>
      <c r="L84" s="1513"/>
      <c r="M84" s="1512"/>
      <c r="N84" s="1512"/>
      <c r="O84" s="1512"/>
    </row>
    <row r="85" spans="1:15">
      <c r="A85" s="1512"/>
      <c r="B85" s="1513"/>
      <c r="K85" s="1513"/>
      <c r="L85" s="1513"/>
      <c r="M85" s="1512"/>
      <c r="N85" s="1512"/>
      <c r="O85" s="1512"/>
    </row>
    <row r="86" spans="1:15">
      <c r="A86" s="1512"/>
      <c r="B86" s="1513"/>
      <c r="K86" s="1513"/>
      <c r="L86" s="1513"/>
      <c r="M86" s="1512"/>
      <c r="N86" s="1512"/>
      <c r="O86" s="1512"/>
    </row>
    <row r="87" spans="1:15">
      <c r="A87" s="1512"/>
      <c r="B87" s="1513"/>
      <c r="K87" s="1513"/>
      <c r="L87" s="1513"/>
      <c r="M87" s="1512"/>
      <c r="N87" s="1512"/>
      <c r="O87" s="1512"/>
    </row>
    <row r="88" spans="1:15">
      <c r="A88" s="1512"/>
      <c r="B88" s="1513"/>
      <c r="K88" s="1513"/>
      <c r="L88" s="1513"/>
      <c r="M88" s="1512"/>
      <c r="N88" s="1512"/>
      <c r="O88" s="1512"/>
    </row>
    <row r="89" spans="1:15">
      <c r="A89" s="1512"/>
      <c r="B89" s="1513"/>
      <c r="K89" s="1513"/>
      <c r="L89" s="1513"/>
      <c r="M89" s="1512"/>
      <c r="N89" s="1512"/>
      <c r="O89" s="1512"/>
    </row>
    <row r="90" spans="1:15">
      <c r="A90" s="1512"/>
      <c r="B90" s="1513"/>
      <c r="K90" s="1513"/>
      <c r="L90" s="1513"/>
      <c r="M90" s="1512"/>
      <c r="N90" s="1512"/>
      <c r="O90" s="1512"/>
    </row>
    <row r="91" spans="1:15">
      <c r="A91" s="1512"/>
      <c r="B91" s="1513"/>
      <c r="K91" s="1513"/>
      <c r="L91" s="1513"/>
      <c r="M91" s="1512"/>
      <c r="N91" s="1512"/>
      <c r="O91" s="1512"/>
    </row>
    <row r="92" spans="1:15">
      <c r="A92" s="1512"/>
      <c r="B92" s="1513"/>
      <c r="K92" s="1513"/>
      <c r="L92" s="1513"/>
      <c r="M92" s="1512"/>
      <c r="N92" s="1512"/>
      <c r="O92" s="1512"/>
    </row>
    <row r="93" spans="1:15">
      <c r="A93" s="1512"/>
      <c r="B93" s="1513"/>
      <c r="K93" s="1513"/>
      <c r="L93" s="1513"/>
      <c r="M93" s="1512"/>
      <c r="N93" s="1512"/>
      <c r="O93" s="1512"/>
    </row>
    <row r="94" spans="1:15">
      <c r="A94" s="1512"/>
      <c r="B94" s="1513"/>
      <c r="K94" s="1513"/>
      <c r="L94" s="1513"/>
      <c r="M94" s="1512"/>
      <c r="N94" s="1512"/>
      <c r="O94" s="1512"/>
    </row>
    <row r="95" spans="1:15">
      <c r="A95" s="1512"/>
      <c r="B95" s="1513"/>
      <c r="K95" s="1513"/>
      <c r="L95" s="1513"/>
      <c r="M95" s="1512"/>
      <c r="N95" s="1512"/>
      <c r="O95" s="1512"/>
    </row>
    <row r="96" spans="1:15">
      <c r="A96" s="1512"/>
      <c r="B96" s="1513"/>
      <c r="K96" s="1513"/>
      <c r="L96" s="1513"/>
      <c r="M96" s="1512"/>
      <c r="N96" s="1512"/>
      <c r="O96" s="1512"/>
    </row>
    <row r="97" spans="1:15">
      <c r="A97" s="1512"/>
      <c r="B97" s="1513"/>
      <c r="K97" s="1513"/>
      <c r="L97" s="1513"/>
      <c r="M97" s="1512"/>
      <c r="N97" s="1512"/>
      <c r="O97" s="1512"/>
    </row>
    <row r="98" spans="1:15">
      <c r="A98" s="1512"/>
      <c r="B98" s="1513"/>
      <c r="K98" s="1513"/>
      <c r="L98" s="1513"/>
      <c r="M98" s="1512"/>
      <c r="N98" s="1512"/>
      <c r="O98" s="1512"/>
    </row>
    <row r="99" spans="1:15">
      <c r="A99" s="1512"/>
      <c r="B99" s="1513"/>
      <c r="K99" s="1513"/>
      <c r="L99" s="1513"/>
      <c r="M99" s="1512"/>
      <c r="N99" s="1512"/>
      <c r="O99" s="1512"/>
    </row>
    <row r="100" spans="1:15">
      <c r="A100" s="1512"/>
      <c r="B100" s="1513"/>
      <c r="K100" s="1513"/>
      <c r="L100" s="1513"/>
      <c r="M100" s="1512"/>
      <c r="N100" s="1512"/>
      <c r="O100" s="1512"/>
    </row>
    <row r="101" spans="1:15">
      <c r="A101" s="1512"/>
      <c r="B101" s="1513"/>
      <c r="K101" s="1513"/>
      <c r="L101" s="1513"/>
      <c r="M101" s="1512"/>
      <c r="N101" s="1512"/>
      <c r="O101" s="1512"/>
    </row>
    <row r="102" spans="1:15">
      <c r="A102" s="1512"/>
      <c r="B102" s="1513"/>
      <c r="K102" s="1513"/>
      <c r="L102" s="1513"/>
      <c r="M102" s="1512"/>
      <c r="N102" s="1512"/>
      <c r="O102" s="1512"/>
    </row>
    <row r="103" spans="1:15">
      <c r="A103" s="1512"/>
      <c r="B103" s="1513"/>
      <c r="K103" s="1513"/>
      <c r="L103" s="1513"/>
      <c r="M103" s="1512"/>
      <c r="N103" s="1512"/>
      <c r="O103" s="1512"/>
    </row>
    <row r="104" spans="1:15">
      <c r="A104" s="1512"/>
      <c r="B104" s="1513"/>
      <c r="K104" s="1513"/>
      <c r="L104" s="1513"/>
      <c r="M104" s="1512"/>
      <c r="N104" s="1512"/>
      <c r="O104" s="1512"/>
    </row>
    <row r="105" spans="1:15">
      <c r="A105" s="1512"/>
      <c r="B105" s="1513"/>
      <c r="K105" s="1513"/>
      <c r="L105" s="1513"/>
      <c r="M105" s="1512"/>
      <c r="N105" s="1512"/>
      <c r="O105" s="1512"/>
    </row>
    <row r="106" spans="1:15">
      <c r="A106" s="1512"/>
      <c r="B106" s="1513"/>
      <c r="K106" s="1513"/>
      <c r="L106" s="1513"/>
      <c r="M106" s="1512"/>
      <c r="N106" s="1512"/>
      <c r="O106" s="1512"/>
    </row>
    <row r="107" spans="1:15">
      <c r="A107" s="1512"/>
      <c r="B107" s="1513"/>
      <c r="K107" s="1513"/>
      <c r="L107" s="1513"/>
      <c r="M107" s="1512"/>
      <c r="N107" s="1512"/>
      <c r="O107" s="1512"/>
    </row>
    <row r="108" spans="1:15">
      <c r="A108" s="1512"/>
      <c r="B108" s="1513"/>
      <c r="K108" s="1513"/>
      <c r="L108" s="1513"/>
      <c r="M108" s="1512"/>
      <c r="N108" s="1512"/>
      <c r="O108" s="1512"/>
    </row>
    <row r="109" spans="1:15">
      <c r="A109" s="1512"/>
      <c r="B109" s="1513"/>
      <c r="K109" s="1513"/>
      <c r="L109" s="1513"/>
      <c r="M109" s="1512"/>
      <c r="N109" s="1512"/>
      <c r="O109" s="1512"/>
    </row>
    <row r="110" spans="1:15">
      <c r="A110" s="1512"/>
      <c r="B110" s="1513"/>
      <c r="K110" s="1513"/>
      <c r="L110" s="1513"/>
      <c r="M110" s="1512"/>
      <c r="N110" s="1512"/>
      <c r="O110" s="1512"/>
    </row>
    <row r="111" spans="1:15">
      <c r="A111" s="1512"/>
      <c r="B111" s="1513"/>
      <c r="K111" s="1513"/>
      <c r="L111" s="1513"/>
      <c r="M111" s="1512"/>
      <c r="N111" s="1512"/>
      <c r="O111" s="1512"/>
    </row>
    <row r="112" spans="1:15">
      <c r="A112" s="1512"/>
      <c r="B112" s="1513"/>
      <c r="K112" s="1513"/>
      <c r="L112" s="1513"/>
      <c r="M112" s="1512"/>
      <c r="N112" s="1512"/>
      <c r="O112" s="1512"/>
    </row>
    <row r="113" spans="1:15">
      <c r="A113" s="1512"/>
      <c r="B113" s="1513"/>
      <c r="K113" s="1513"/>
      <c r="L113" s="1513"/>
      <c r="M113" s="1512"/>
      <c r="N113" s="1512"/>
      <c r="O113" s="1512"/>
    </row>
    <row r="114" spans="1:15">
      <c r="A114" s="1512"/>
      <c r="B114" s="1513"/>
      <c r="K114" s="1513"/>
      <c r="L114" s="1513"/>
      <c r="M114" s="1512"/>
      <c r="N114" s="1512"/>
      <c r="O114" s="1512"/>
    </row>
    <row r="115" spans="1:15">
      <c r="A115" s="1512"/>
      <c r="B115" s="1513"/>
      <c r="K115" s="1513"/>
      <c r="L115" s="1513"/>
      <c r="M115" s="1512"/>
      <c r="N115" s="1512"/>
      <c r="O115" s="1512"/>
    </row>
    <row r="116" spans="1:15">
      <c r="A116" s="1512"/>
      <c r="B116" s="1513"/>
      <c r="K116" s="1513"/>
      <c r="L116" s="1513"/>
      <c r="M116" s="1512"/>
      <c r="N116" s="1512"/>
      <c r="O116" s="1512"/>
    </row>
    <row r="117" spans="1:15">
      <c r="A117" s="1512"/>
      <c r="B117" s="1513"/>
      <c r="K117" s="1513"/>
      <c r="L117" s="1513"/>
      <c r="M117" s="1512"/>
      <c r="N117" s="1512"/>
      <c r="O117" s="1512"/>
    </row>
    <row r="118" spans="1:15">
      <c r="A118" s="1512"/>
      <c r="B118" s="1513"/>
      <c r="K118" s="1513"/>
      <c r="L118" s="1513"/>
      <c r="M118" s="1512"/>
      <c r="N118" s="1512"/>
      <c r="O118" s="1512"/>
    </row>
    <row r="119" spans="1:15">
      <c r="A119" s="1512"/>
      <c r="B119" s="1513"/>
      <c r="K119" s="1513"/>
      <c r="L119" s="1513"/>
      <c r="M119" s="1512"/>
      <c r="N119" s="1512"/>
      <c r="O119" s="1512"/>
    </row>
    <row r="120" spans="1:15">
      <c r="A120" s="1512"/>
      <c r="B120" s="1513"/>
      <c r="K120" s="1513"/>
      <c r="L120" s="1513"/>
      <c r="M120" s="1512"/>
      <c r="N120" s="1512"/>
      <c r="O120" s="1512"/>
    </row>
    <row r="121" spans="1:15">
      <c r="A121" s="1512"/>
      <c r="B121" s="1513"/>
      <c r="K121" s="1513"/>
      <c r="L121" s="1513"/>
      <c r="M121" s="1512"/>
      <c r="N121" s="1512"/>
      <c r="O121" s="1512"/>
    </row>
    <row r="122" spans="1:15">
      <c r="A122" s="1512"/>
      <c r="B122" s="1513"/>
      <c r="K122" s="1513"/>
      <c r="L122" s="1513"/>
      <c r="M122" s="1512"/>
      <c r="N122" s="1512"/>
      <c r="O122" s="1512"/>
    </row>
    <row r="123" spans="1:15">
      <c r="A123" s="1512"/>
      <c r="B123" s="1513"/>
      <c r="K123" s="1513"/>
      <c r="L123" s="1513"/>
      <c r="M123" s="1512"/>
      <c r="N123" s="1512"/>
      <c r="O123" s="1512"/>
    </row>
    <row r="124" spans="1:15">
      <c r="A124" s="1512"/>
      <c r="B124" s="1513"/>
      <c r="K124" s="1513"/>
      <c r="L124" s="1513"/>
      <c r="M124" s="1512"/>
      <c r="N124" s="1512"/>
      <c r="O124" s="1512"/>
    </row>
    <row r="125" spans="1:15">
      <c r="A125" s="1512"/>
      <c r="B125" s="1513"/>
      <c r="K125" s="1513"/>
      <c r="L125" s="1513"/>
      <c r="M125" s="1512"/>
      <c r="N125" s="1512"/>
      <c r="O125" s="1512"/>
    </row>
    <row r="126" spans="1:15">
      <c r="A126" s="1512"/>
      <c r="B126" s="1513"/>
      <c r="K126" s="1513"/>
      <c r="L126" s="1513"/>
      <c r="M126" s="1512"/>
      <c r="N126" s="1512"/>
      <c r="O126" s="1512"/>
    </row>
    <row r="127" spans="1:15">
      <c r="A127" s="1512"/>
      <c r="B127" s="1513"/>
      <c r="K127" s="1513"/>
      <c r="L127" s="1513"/>
      <c r="M127" s="1512"/>
      <c r="N127" s="1512"/>
      <c r="O127" s="1512"/>
    </row>
    <row r="128" spans="1:15">
      <c r="A128" s="1512"/>
      <c r="B128" s="1513"/>
      <c r="K128" s="1513"/>
      <c r="L128" s="1513"/>
      <c r="M128" s="1512"/>
      <c r="N128" s="1512"/>
      <c r="O128" s="1512"/>
    </row>
    <row r="129" spans="1:15">
      <c r="A129" s="1512"/>
      <c r="B129" s="1513"/>
      <c r="K129" s="1513"/>
      <c r="L129" s="1513"/>
      <c r="M129" s="1512"/>
      <c r="N129" s="1512"/>
      <c r="O129" s="1512"/>
    </row>
    <row r="130" spans="1:15">
      <c r="A130" s="1512"/>
      <c r="B130" s="1513"/>
      <c r="K130" s="1513"/>
      <c r="L130" s="1513"/>
      <c r="M130" s="1512"/>
      <c r="N130" s="1512"/>
      <c r="O130" s="1512"/>
    </row>
    <row r="131" spans="1:15">
      <c r="A131" s="1512"/>
      <c r="B131" s="1513"/>
      <c r="K131" s="1513"/>
      <c r="L131" s="1513"/>
      <c r="M131" s="1512"/>
      <c r="N131" s="1512"/>
      <c r="O131" s="1512"/>
    </row>
    <row r="132" spans="1:15">
      <c r="A132" s="1512"/>
      <c r="B132" s="1513"/>
      <c r="K132" s="1513"/>
      <c r="L132" s="1513"/>
      <c r="M132" s="1512"/>
      <c r="N132" s="1512"/>
      <c r="O132" s="1512"/>
    </row>
    <row r="133" spans="1:15">
      <c r="A133" s="1512"/>
      <c r="B133" s="1513"/>
      <c r="K133" s="1513"/>
      <c r="L133" s="1513"/>
      <c r="M133" s="1512"/>
      <c r="N133" s="1512"/>
      <c r="O133" s="1512"/>
    </row>
    <row r="134" spans="1:15">
      <c r="A134" s="1512"/>
      <c r="B134" s="1513"/>
      <c r="K134" s="1513"/>
      <c r="L134" s="1513"/>
      <c r="M134" s="1512"/>
      <c r="N134" s="1512"/>
      <c r="O134" s="1512"/>
    </row>
    <row r="135" spans="1:15">
      <c r="A135" s="1512"/>
      <c r="B135" s="1513"/>
      <c r="K135" s="1513"/>
      <c r="L135" s="1513"/>
      <c r="M135" s="1512"/>
      <c r="N135" s="1512"/>
      <c r="O135" s="1512"/>
    </row>
    <row r="136" spans="1:15">
      <c r="A136" s="1512"/>
      <c r="B136" s="1513"/>
      <c r="K136" s="1513"/>
      <c r="L136" s="1513"/>
      <c r="M136" s="1512"/>
      <c r="N136" s="1512"/>
      <c r="O136" s="1512"/>
    </row>
    <row r="137" spans="1:15">
      <c r="A137" s="1512"/>
      <c r="B137" s="1513"/>
      <c r="K137" s="1513"/>
      <c r="L137" s="1513"/>
      <c r="M137" s="1512"/>
      <c r="N137" s="1512"/>
      <c r="O137" s="1512"/>
    </row>
    <row r="138" spans="1:15">
      <c r="A138" s="1512"/>
      <c r="B138" s="1513"/>
      <c r="K138" s="1513"/>
      <c r="L138" s="1513"/>
      <c r="M138" s="1512"/>
      <c r="N138" s="1512"/>
      <c r="O138" s="1512"/>
    </row>
    <row r="139" spans="1:15">
      <c r="A139" s="1512"/>
      <c r="B139" s="1513"/>
      <c r="K139" s="1513"/>
      <c r="L139" s="1513"/>
      <c r="M139" s="1512"/>
      <c r="N139" s="1512"/>
      <c r="O139" s="1512"/>
    </row>
    <row r="140" spans="1:15">
      <c r="A140" s="1512"/>
      <c r="B140" s="1513"/>
      <c r="K140" s="1513"/>
      <c r="L140" s="1513"/>
      <c r="M140" s="1512"/>
      <c r="N140" s="1512"/>
      <c r="O140" s="1512"/>
    </row>
    <row r="141" spans="1:15">
      <c r="A141" s="1512"/>
      <c r="B141" s="1513"/>
      <c r="K141" s="1513"/>
      <c r="L141" s="1513"/>
      <c r="M141" s="1512"/>
      <c r="N141" s="1512"/>
      <c r="O141" s="1512"/>
    </row>
    <row r="142" spans="1:15">
      <c r="A142" s="1512"/>
      <c r="B142" s="1513"/>
      <c r="K142" s="1513"/>
      <c r="L142" s="1513"/>
      <c r="M142" s="1512"/>
      <c r="N142" s="1512"/>
      <c r="O142" s="1512"/>
    </row>
    <row r="143" spans="1:15">
      <c r="A143" s="1512"/>
      <c r="B143" s="1513"/>
      <c r="K143" s="1513"/>
      <c r="L143" s="1513"/>
      <c r="M143" s="1512"/>
      <c r="N143" s="1512"/>
      <c r="O143" s="1512"/>
    </row>
    <row r="144" spans="1:15">
      <c r="A144" s="1512"/>
      <c r="B144" s="1513"/>
      <c r="K144" s="1513"/>
      <c r="L144" s="1513"/>
      <c r="M144" s="1512"/>
      <c r="N144" s="1512"/>
      <c r="O144" s="1512"/>
    </row>
    <row r="145" spans="1:15">
      <c r="A145" s="1512"/>
      <c r="B145" s="1513"/>
      <c r="K145" s="1513"/>
      <c r="L145" s="1513"/>
      <c r="M145" s="1512"/>
      <c r="N145" s="1512"/>
      <c r="O145" s="1512"/>
    </row>
    <row r="146" spans="1:15">
      <c r="A146" s="1512"/>
      <c r="B146" s="1513"/>
      <c r="K146" s="1513"/>
      <c r="L146" s="1513"/>
      <c r="M146" s="1512"/>
      <c r="N146" s="1512"/>
      <c r="O146" s="1512"/>
    </row>
    <row r="147" spans="1:15">
      <c r="A147" s="1512"/>
      <c r="B147" s="1513"/>
      <c r="K147" s="1513"/>
      <c r="L147" s="1513"/>
      <c r="M147" s="1512"/>
      <c r="N147" s="1512"/>
      <c r="O147" s="1512"/>
    </row>
    <row r="148" spans="1:15">
      <c r="A148" s="1512"/>
      <c r="B148" s="1513"/>
      <c r="K148" s="1513"/>
      <c r="L148" s="1513"/>
      <c r="M148" s="1512"/>
      <c r="N148" s="1512"/>
      <c r="O148" s="1512"/>
    </row>
    <row r="149" spans="1:15">
      <c r="A149" s="1512"/>
      <c r="B149" s="1513"/>
      <c r="K149" s="1513"/>
      <c r="L149" s="1513"/>
      <c r="M149" s="1512"/>
      <c r="N149" s="1512"/>
      <c r="O149" s="1512"/>
    </row>
    <row r="150" spans="1:15">
      <c r="A150" s="1512"/>
      <c r="B150" s="1513"/>
      <c r="K150" s="1513"/>
      <c r="L150" s="1513"/>
      <c r="M150" s="1512"/>
      <c r="N150" s="1512"/>
      <c r="O150" s="1512"/>
    </row>
    <row r="151" spans="1:15">
      <c r="A151" s="1512"/>
      <c r="B151" s="1513"/>
      <c r="K151" s="1513"/>
      <c r="L151" s="1513"/>
      <c r="M151" s="1512"/>
      <c r="N151" s="1512"/>
      <c r="O151" s="1512"/>
    </row>
    <row r="152" spans="1:15">
      <c r="A152" s="1512"/>
      <c r="B152" s="1513"/>
      <c r="K152" s="1513"/>
      <c r="L152" s="1513"/>
      <c r="M152" s="1512"/>
      <c r="N152" s="1512"/>
      <c r="O152" s="1512"/>
    </row>
    <row r="153" spans="1:15">
      <c r="A153" s="1512"/>
      <c r="B153" s="1513"/>
      <c r="K153" s="1513"/>
      <c r="L153" s="1513"/>
      <c r="M153" s="1512"/>
      <c r="N153" s="1512"/>
      <c r="O153" s="1512"/>
    </row>
    <row r="154" spans="1:15">
      <c r="A154" s="1512"/>
      <c r="B154" s="1513"/>
      <c r="K154" s="1513"/>
      <c r="L154" s="1513"/>
      <c r="M154" s="1512"/>
      <c r="N154" s="1512"/>
      <c r="O154" s="1512"/>
    </row>
    <row r="155" spans="1:15">
      <c r="A155" s="1512"/>
      <c r="B155" s="1513"/>
      <c r="K155" s="1513"/>
      <c r="L155" s="1513"/>
      <c r="M155" s="1512"/>
      <c r="N155" s="1512"/>
      <c r="O155" s="1512"/>
    </row>
    <row r="156" spans="1:15">
      <c r="A156" s="1512"/>
      <c r="B156" s="1513"/>
      <c r="K156" s="1513"/>
      <c r="L156" s="1513"/>
      <c r="M156" s="1512"/>
      <c r="N156" s="1512"/>
      <c r="O156" s="1512"/>
    </row>
    <row r="157" spans="1:15">
      <c r="A157" s="1512"/>
      <c r="B157" s="1513"/>
      <c r="K157" s="1513"/>
      <c r="L157" s="1513"/>
      <c r="M157" s="1512"/>
      <c r="N157" s="1512"/>
      <c r="O157" s="1512"/>
    </row>
    <row r="158" spans="1:15">
      <c r="A158" s="1512"/>
      <c r="B158" s="1513"/>
      <c r="K158" s="1513"/>
      <c r="L158" s="1513"/>
      <c r="M158" s="1512"/>
      <c r="N158" s="1512"/>
      <c r="O158" s="1512"/>
    </row>
    <row r="159" spans="1:15">
      <c r="A159" s="1512"/>
      <c r="B159" s="1513"/>
      <c r="K159" s="1513"/>
      <c r="L159" s="1513"/>
      <c r="M159" s="1512"/>
      <c r="N159" s="1512"/>
      <c r="O159" s="1512"/>
    </row>
    <row r="160" spans="1:15">
      <c r="A160" s="1512"/>
      <c r="B160" s="1513"/>
      <c r="K160" s="1513"/>
      <c r="L160" s="1513"/>
      <c r="M160" s="1512"/>
      <c r="N160" s="1512"/>
      <c r="O160" s="1512"/>
    </row>
    <row r="161" spans="1:15">
      <c r="A161" s="1512"/>
      <c r="B161" s="1513"/>
      <c r="K161" s="1513"/>
      <c r="L161" s="1513"/>
      <c r="M161" s="1512"/>
      <c r="N161" s="1512"/>
      <c r="O161" s="1512"/>
    </row>
    <row r="162" spans="1:15">
      <c r="A162" s="1512"/>
      <c r="B162" s="1513"/>
      <c r="K162" s="1513"/>
      <c r="L162" s="1513"/>
      <c r="M162" s="1512"/>
      <c r="N162" s="1512"/>
      <c r="O162" s="1512"/>
    </row>
    <row r="163" spans="1:15">
      <c r="A163" s="1512"/>
      <c r="B163" s="1513"/>
      <c r="K163" s="1513"/>
      <c r="L163" s="1513"/>
      <c r="M163" s="1512"/>
      <c r="N163" s="1512"/>
      <c r="O163" s="1512"/>
    </row>
    <row r="164" spans="1:15">
      <c r="A164" s="1512"/>
      <c r="B164" s="1513"/>
      <c r="K164" s="1513"/>
      <c r="L164" s="1513"/>
      <c r="M164" s="1512"/>
      <c r="N164" s="1512"/>
      <c r="O164" s="1512"/>
    </row>
    <row r="165" spans="1:15">
      <c r="A165" s="1512"/>
      <c r="B165" s="1513"/>
      <c r="K165" s="1513"/>
      <c r="L165" s="1513"/>
      <c r="M165" s="1512"/>
      <c r="N165" s="1512"/>
      <c r="O165" s="1512"/>
    </row>
    <row r="166" spans="1:15">
      <c r="A166" s="1512"/>
      <c r="B166" s="1513"/>
      <c r="K166" s="1513"/>
      <c r="L166" s="1513"/>
      <c r="M166" s="1512"/>
      <c r="N166" s="1512"/>
      <c r="O166" s="1512"/>
    </row>
    <row r="167" spans="1:15">
      <c r="A167" s="1512"/>
      <c r="B167" s="1513"/>
      <c r="K167" s="1513"/>
      <c r="L167" s="1513"/>
      <c r="M167" s="1512"/>
      <c r="N167" s="1512"/>
      <c r="O167" s="1512"/>
    </row>
    <row r="168" spans="1:15">
      <c r="A168" s="1512"/>
      <c r="B168" s="1513"/>
      <c r="K168" s="1513"/>
      <c r="L168" s="1513"/>
      <c r="M168" s="1512"/>
      <c r="N168" s="1512"/>
      <c r="O168" s="1512"/>
    </row>
    <row r="169" spans="1:15">
      <c r="A169" s="1512"/>
      <c r="B169" s="1513"/>
      <c r="K169" s="1513"/>
      <c r="L169" s="1513"/>
      <c r="M169" s="1512"/>
      <c r="N169" s="1512"/>
      <c r="O169" s="1512"/>
    </row>
    <row r="170" spans="1:15">
      <c r="A170" s="1512"/>
      <c r="B170" s="1513"/>
      <c r="K170" s="1513"/>
      <c r="L170" s="1513"/>
      <c r="M170" s="1512"/>
      <c r="N170" s="1512"/>
      <c r="O170" s="1512"/>
    </row>
    <row r="171" spans="1:15">
      <c r="A171" s="1512"/>
      <c r="B171" s="1513"/>
      <c r="K171" s="1513"/>
      <c r="L171" s="1513"/>
      <c r="M171" s="1512"/>
      <c r="N171" s="1512"/>
      <c r="O171" s="1512"/>
    </row>
    <row r="172" spans="1:15">
      <c r="A172" s="1512"/>
      <c r="B172" s="1513"/>
      <c r="K172" s="1513"/>
      <c r="L172" s="1513"/>
      <c r="M172" s="1512"/>
      <c r="N172" s="1512"/>
      <c r="O172" s="1512"/>
    </row>
    <row r="173" spans="1:15">
      <c r="A173" s="1512"/>
      <c r="B173" s="1513"/>
      <c r="K173" s="1513"/>
      <c r="L173" s="1513"/>
      <c r="M173" s="1512"/>
      <c r="N173" s="1512"/>
      <c r="O173" s="1512"/>
    </row>
    <row r="174" spans="1:15">
      <c r="A174" s="1512"/>
      <c r="B174" s="1513"/>
      <c r="K174" s="1513"/>
      <c r="L174" s="1513"/>
      <c r="M174" s="1512"/>
      <c r="N174" s="1512"/>
      <c r="O174" s="1512"/>
    </row>
    <row r="175" spans="1:15">
      <c r="A175" s="1512"/>
      <c r="B175" s="1513"/>
      <c r="K175" s="1513"/>
      <c r="L175" s="1513"/>
      <c r="M175" s="1512"/>
      <c r="N175" s="1512"/>
      <c r="O175" s="1512"/>
    </row>
    <row r="176" spans="1:15">
      <c r="A176" s="1512"/>
      <c r="B176" s="1513"/>
      <c r="K176" s="1513"/>
      <c r="L176" s="1513"/>
      <c r="M176" s="1512"/>
      <c r="N176" s="1512"/>
      <c r="O176" s="1512"/>
    </row>
    <row r="177" spans="1:15">
      <c r="A177" s="1512"/>
      <c r="B177" s="1513"/>
      <c r="K177" s="1513"/>
      <c r="L177" s="1513"/>
      <c r="M177" s="1512"/>
      <c r="N177" s="1512"/>
      <c r="O177" s="1512"/>
    </row>
    <row r="178" spans="1:15">
      <c r="A178" s="1512"/>
      <c r="B178" s="1513"/>
      <c r="K178" s="1513"/>
      <c r="L178" s="1513"/>
      <c r="M178" s="1512"/>
      <c r="N178" s="1512"/>
      <c r="O178" s="1512"/>
    </row>
    <row r="179" spans="1:15">
      <c r="A179" s="1512"/>
      <c r="B179" s="1513"/>
      <c r="K179" s="1513"/>
      <c r="L179" s="1513"/>
      <c r="M179" s="1512"/>
      <c r="N179" s="1512"/>
      <c r="O179" s="1512"/>
    </row>
    <row r="180" spans="1:15">
      <c r="A180" s="1512"/>
      <c r="B180" s="1513"/>
      <c r="K180" s="1513"/>
      <c r="L180" s="1513"/>
      <c r="M180" s="1512"/>
      <c r="N180" s="1512"/>
      <c r="O180" s="1512"/>
    </row>
    <row r="181" spans="1:15">
      <c r="A181" s="1512"/>
      <c r="B181" s="1513"/>
      <c r="K181" s="1513"/>
      <c r="L181" s="1513"/>
      <c r="M181" s="1512"/>
      <c r="N181" s="1512"/>
      <c r="O181" s="1512"/>
    </row>
    <row r="182" spans="1:15">
      <c r="A182" s="1512"/>
      <c r="B182" s="1513"/>
      <c r="K182" s="1513"/>
      <c r="L182" s="1513"/>
      <c r="M182" s="1512"/>
      <c r="N182" s="1512"/>
      <c r="O182" s="1512"/>
    </row>
    <row r="183" spans="1:15">
      <c r="A183" s="1512"/>
      <c r="B183" s="1513"/>
      <c r="K183" s="1513"/>
      <c r="L183" s="1513"/>
      <c r="M183" s="1512"/>
      <c r="N183" s="1512"/>
      <c r="O183" s="1512"/>
    </row>
    <row r="184" spans="1:15">
      <c r="A184" s="1512"/>
      <c r="B184" s="1513"/>
      <c r="K184" s="1513"/>
      <c r="L184" s="1513"/>
      <c r="M184" s="1512"/>
      <c r="N184" s="1512"/>
      <c r="O184" s="1512"/>
    </row>
    <row r="185" spans="1:15">
      <c r="A185" s="1512"/>
      <c r="B185" s="1513"/>
      <c r="K185" s="1513"/>
      <c r="L185" s="1513"/>
      <c r="M185" s="1512"/>
      <c r="N185" s="1512"/>
      <c r="O185" s="1512"/>
    </row>
    <row r="186" spans="1:15">
      <c r="A186" s="1512"/>
      <c r="B186" s="1513"/>
      <c r="K186" s="1513"/>
      <c r="L186" s="1513"/>
      <c r="M186" s="1512"/>
      <c r="N186" s="1512"/>
      <c r="O186" s="1512"/>
    </row>
    <row r="187" spans="1:15">
      <c r="A187" s="1512"/>
      <c r="B187" s="1513"/>
      <c r="K187" s="1513"/>
      <c r="L187" s="1513"/>
      <c r="M187" s="1512"/>
      <c r="N187" s="1512"/>
      <c r="O187" s="1512"/>
    </row>
    <row r="188" spans="1:15">
      <c r="A188" s="1512"/>
      <c r="B188" s="1513"/>
      <c r="K188" s="1513"/>
      <c r="L188" s="1513"/>
      <c r="M188" s="1512"/>
      <c r="N188" s="1512"/>
      <c r="O188" s="1512"/>
    </row>
    <row r="189" spans="1:15">
      <c r="A189" s="1512"/>
      <c r="B189" s="1513"/>
      <c r="K189" s="1513"/>
      <c r="L189" s="1513"/>
      <c r="M189" s="1512"/>
      <c r="N189" s="1512"/>
      <c r="O189" s="1512"/>
    </row>
    <row r="190" spans="1:15">
      <c r="A190" s="1512"/>
      <c r="B190" s="1513"/>
      <c r="K190" s="1513"/>
      <c r="L190" s="1513"/>
      <c r="M190" s="1512"/>
      <c r="N190" s="1512"/>
      <c r="O190" s="1512"/>
    </row>
    <row r="191" spans="1:15">
      <c r="A191" s="1512"/>
      <c r="B191" s="1513"/>
      <c r="K191" s="1513"/>
      <c r="L191" s="1513"/>
      <c r="M191" s="1512"/>
      <c r="N191" s="1512"/>
      <c r="O191" s="1512"/>
    </row>
    <row r="192" spans="1:15">
      <c r="A192" s="1512"/>
      <c r="B192" s="1513"/>
      <c r="K192" s="1513"/>
      <c r="L192" s="1513"/>
      <c r="M192" s="1512"/>
      <c r="N192" s="1512"/>
      <c r="O192" s="1512"/>
    </row>
    <row r="193" spans="1:15">
      <c r="A193" s="1512"/>
      <c r="B193" s="1513"/>
      <c r="K193" s="1513"/>
      <c r="L193" s="1513"/>
      <c r="M193" s="1512"/>
      <c r="N193" s="1512"/>
      <c r="O193" s="1512"/>
    </row>
    <row r="194" spans="1:15">
      <c r="A194" s="1512"/>
      <c r="B194" s="1513"/>
      <c r="K194" s="1513"/>
      <c r="L194" s="1513"/>
      <c r="M194" s="1512"/>
      <c r="N194" s="1512"/>
      <c r="O194" s="1512"/>
    </row>
    <row r="195" spans="1:15">
      <c r="A195" s="1512"/>
      <c r="B195" s="1513"/>
      <c r="K195" s="1513"/>
      <c r="L195" s="1513"/>
      <c r="M195" s="1512"/>
      <c r="N195" s="1512"/>
      <c r="O195" s="1512"/>
    </row>
    <row r="196" spans="1:15">
      <c r="A196" s="1512"/>
      <c r="B196" s="1513"/>
      <c r="K196" s="1513"/>
      <c r="L196" s="1513"/>
      <c r="M196" s="1512"/>
      <c r="N196" s="1512"/>
      <c r="O196" s="1512"/>
    </row>
    <row r="197" spans="1:15">
      <c r="A197" s="1512"/>
      <c r="B197" s="1513"/>
      <c r="K197" s="1513"/>
      <c r="L197" s="1513"/>
      <c r="M197" s="1512"/>
      <c r="N197" s="1512"/>
      <c r="O197" s="1512"/>
    </row>
    <row r="198" spans="1:15">
      <c r="A198" s="1512"/>
      <c r="B198" s="1513"/>
      <c r="K198" s="1513"/>
      <c r="L198" s="1513"/>
      <c r="M198" s="1512"/>
      <c r="N198" s="1512"/>
      <c r="O198" s="1512"/>
    </row>
    <row r="199" spans="1:15">
      <c r="A199" s="1512"/>
      <c r="B199" s="1513"/>
      <c r="K199" s="1513"/>
      <c r="L199" s="1513"/>
      <c r="M199" s="1512"/>
      <c r="N199" s="1512"/>
      <c r="O199" s="1512"/>
    </row>
    <row r="200" spans="1:15">
      <c r="A200" s="1512"/>
      <c r="B200" s="1513"/>
      <c r="K200" s="1513"/>
      <c r="L200" s="1513"/>
      <c r="M200" s="1512"/>
      <c r="N200" s="1512"/>
      <c r="O200" s="1512"/>
    </row>
    <row r="201" spans="1:15">
      <c r="A201" s="1512"/>
      <c r="B201" s="1513"/>
      <c r="K201" s="1513"/>
      <c r="L201" s="1513"/>
      <c r="M201" s="1512"/>
      <c r="N201" s="1512"/>
      <c r="O201" s="1512"/>
    </row>
    <row r="202" spans="1:15">
      <c r="A202" s="1512"/>
      <c r="B202" s="1513"/>
      <c r="K202" s="1513"/>
      <c r="L202" s="1513"/>
      <c r="M202" s="1512"/>
      <c r="N202" s="1512"/>
      <c r="O202" s="1512"/>
    </row>
    <row r="203" spans="1:15">
      <c r="A203" s="1512"/>
      <c r="B203" s="1513"/>
      <c r="K203" s="1513"/>
      <c r="L203" s="1513"/>
      <c r="M203" s="1512"/>
      <c r="N203" s="1512"/>
      <c r="O203" s="1512"/>
    </row>
    <row r="204" spans="1:15">
      <c r="A204" s="1512"/>
      <c r="B204" s="1513"/>
      <c r="K204" s="1513"/>
      <c r="L204" s="1513"/>
      <c r="M204" s="1512"/>
      <c r="N204" s="1512"/>
      <c r="O204" s="1512"/>
    </row>
    <row r="205" spans="1:15">
      <c r="A205" s="1512"/>
      <c r="B205" s="1513"/>
      <c r="K205" s="1513"/>
      <c r="L205" s="1513"/>
      <c r="M205" s="1512"/>
      <c r="N205" s="1512"/>
      <c r="O205" s="1512"/>
    </row>
    <row r="206" spans="1:15">
      <c r="A206" s="1512"/>
      <c r="B206" s="1513"/>
      <c r="K206" s="1513"/>
      <c r="L206" s="1513"/>
      <c r="M206" s="1512"/>
      <c r="N206" s="1512"/>
      <c r="O206" s="1512"/>
    </row>
    <row r="207" spans="1:15">
      <c r="A207" s="1512"/>
      <c r="B207" s="1513"/>
      <c r="K207" s="1513"/>
      <c r="L207" s="1513"/>
      <c r="M207" s="1512"/>
      <c r="N207" s="1512"/>
      <c r="O207" s="1512"/>
    </row>
    <row r="208" spans="1:15">
      <c r="A208" s="1512"/>
      <c r="B208" s="1513"/>
      <c r="K208" s="1513"/>
      <c r="L208" s="1513"/>
      <c r="M208" s="1512"/>
      <c r="N208" s="1512"/>
      <c r="O208" s="1512"/>
    </row>
    <row r="209" spans="1:15">
      <c r="A209" s="1512"/>
      <c r="B209" s="1513"/>
      <c r="K209" s="1513"/>
      <c r="L209" s="1513"/>
      <c r="M209" s="1512"/>
      <c r="N209" s="1512"/>
      <c r="O209" s="1512"/>
    </row>
    <row r="210" spans="1:15">
      <c r="A210" s="1512"/>
      <c r="B210" s="1513"/>
      <c r="K210" s="1513"/>
      <c r="L210" s="1513"/>
      <c r="M210" s="1512"/>
      <c r="N210" s="1512"/>
      <c r="O210" s="1512"/>
    </row>
    <row r="211" spans="1:15">
      <c r="A211" s="1512"/>
      <c r="B211" s="1513"/>
      <c r="K211" s="1513"/>
      <c r="L211" s="1513"/>
      <c r="M211" s="1512"/>
      <c r="N211" s="1512"/>
      <c r="O211" s="1512"/>
    </row>
    <row r="212" spans="1:15">
      <c r="A212" s="1512"/>
      <c r="B212" s="1513"/>
      <c r="K212" s="1513"/>
      <c r="L212" s="1513"/>
      <c r="M212" s="1512"/>
      <c r="N212" s="1512"/>
      <c r="O212" s="1512"/>
    </row>
    <row r="213" spans="1:15">
      <c r="A213" s="1512"/>
      <c r="B213" s="1513"/>
      <c r="K213" s="1513"/>
      <c r="L213" s="1513"/>
      <c r="M213" s="1512"/>
      <c r="N213" s="1512"/>
      <c r="O213" s="1512"/>
    </row>
    <row r="214" spans="1:15">
      <c r="A214" s="1512"/>
      <c r="B214" s="1513"/>
      <c r="K214" s="1513"/>
      <c r="L214" s="1513"/>
      <c r="M214" s="1512"/>
      <c r="N214" s="1512"/>
      <c r="O214" s="1512"/>
    </row>
    <row r="215" spans="1:15">
      <c r="A215" s="1512"/>
      <c r="B215" s="1513"/>
      <c r="K215" s="1513"/>
      <c r="L215" s="1513"/>
      <c r="M215" s="1512"/>
      <c r="N215" s="1512"/>
      <c r="O215" s="1512"/>
    </row>
    <row r="216" spans="1:15">
      <c r="A216" s="1512"/>
      <c r="B216" s="1513"/>
      <c r="K216" s="1513"/>
      <c r="L216" s="1513"/>
      <c r="M216" s="1512"/>
      <c r="N216" s="1512"/>
      <c r="O216" s="1512"/>
    </row>
    <row r="217" spans="1:15">
      <c r="A217" s="1512"/>
      <c r="B217" s="1513"/>
      <c r="K217" s="1513"/>
      <c r="L217" s="1513"/>
      <c r="M217" s="1512"/>
      <c r="N217" s="1512"/>
      <c r="O217" s="1512"/>
    </row>
    <row r="218" spans="1:15">
      <c r="A218" s="1512"/>
      <c r="B218" s="1513"/>
      <c r="K218" s="1513"/>
      <c r="L218" s="1513"/>
      <c r="M218" s="1512"/>
      <c r="N218" s="1512"/>
      <c r="O218" s="1512"/>
    </row>
    <row r="219" spans="1:15">
      <c r="A219" s="1512"/>
      <c r="B219" s="1513"/>
      <c r="K219" s="1513"/>
      <c r="L219" s="1513"/>
      <c r="M219" s="1512"/>
      <c r="N219" s="1512"/>
      <c r="O219" s="1512"/>
    </row>
    <row r="220" spans="1:15">
      <c r="A220" s="1512"/>
      <c r="B220" s="1513"/>
      <c r="K220" s="1513"/>
      <c r="L220" s="1513"/>
      <c r="M220" s="1512"/>
      <c r="N220" s="1512"/>
      <c r="O220" s="1512"/>
    </row>
    <row r="221" spans="1:15">
      <c r="A221" s="1512"/>
      <c r="B221" s="1513"/>
      <c r="K221" s="1513"/>
      <c r="L221" s="1513"/>
      <c r="M221" s="1512"/>
      <c r="N221" s="1512"/>
      <c r="O221" s="1512"/>
    </row>
    <row r="222" spans="1:15">
      <c r="A222" s="1512"/>
      <c r="B222" s="1513"/>
      <c r="K222" s="1513"/>
      <c r="L222" s="1513"/>
      <c r="M222" s="1512"/>
      <c r="N222" s="1512"/>
      <c r="O222" s="1512"/>
    </row>
    <row r="223" spans="1:15">
      <c r="A223" s="1512"/>
      <c r="B223" s="1513"/>
      <c r="K223" s="1513"/>
      <c r="L223" s="1513"/>
      <c r="M223" s="1512"/>
      <c r="N223" s="1512"/>
      <c r="O223" s="1512"/>
    </row>
    <row r="224" spans="1:15">
      <c r="A224" s="1512"/>
      <c r="B224" s="1513"/>
      <c r="K224" s="1513"/>
      <c r="L224" s="1513"/>
      <c r="M224" s="1512"/>
      <c r="N224" s="1512"/>
      <c r="O224" s="1512"/>
    </row>
    <row r="225" spans="1:15">
      <c r="A225" s="1512"/>
      <c r="B225" s="1513"/>
      <c r="K225" s="1513"/>
      <c r="L225" s="1513"/>
      <c r="M225" s="1512"/>
      <c r="N225" s="1512"/>
      <c r="O225" s="1512"/>
    </row>
    <row r="226" spans="1:15">
      <c r="A226" s="1512"/>
      <c r="B226" s="1513"/>
      <c r="K226" s="1513"/>
      <c r="L226" s="1513"/>
      <c r="M226" s="1512"/>
      <c r="N226" s="1512"/>
      <c r="O226" s="1512"/>
    </row>
    <row r="227" spans="1:15">
      <c r="A227" s="1512"/>
      <c r="B227" s="1513"/>
      <c r="K227" s="1513"/>
      <c r="L227" s="1513"/>
      <c r="M227" s="1512"/>
      <c r="N227" s="1512"/>
      <c r="O227" s="1512"/>
    </row>
    <row r="228" spans="1:15">
      <c r="A228" s="1512"/>
      <c r="B228" s="1513"/>
      <c r="K228" s="1513"/>
      <c r="L228" s="1513"/>
      <c r="M228" s="1512"/>
      <c r="N228" s="1512"/>
      <c r="O228" s="1512"/>
    </row>
    <row r="229" spans="1:15">
      <c r="A229" s="1512"/>
      <c r="B229" s="1513"/>
      <c r="K229" s="1513"/>
      <c r="L229" s="1513"/>
      <c r="M229" s="1512"/>
      <c r="N229" s="1512"/>
      <c r="O229" s="1512"/>
    </row>
    <row r="230" spans="1:15">
      <c r="A230" s="1512"/>
      <c r="B230" s="1513"/>
      <c r="K230" s="1513"/>
      <c r="L230" s="1513"/>
      <c r="M230" s="1512"/>
      <c r="N230" s="1512"/>
      <c r="O230" s="1512"/>
    </row>
    <row r="231" spans="1:15">
      <c r="A231" s="1512"/>
      <c r="B231" s="1513"/>
      <c r="K231" s="1513"/>
      <c r="L231" s="1513"/>
      <c r="M231" s="1512"/>
      <c r="N231" s="1512"/>
      <c r="O231" s="1512"/>
    </row>
    <row r="232" spans="1:15">
      <c r="A232" s="1512"/>
      <c r="B232" s="1513"/>
      <c r="K232" s="1513"/>
      <c r="L232" s="1513"/>
      <c r="M232" s="1512"/>
      <c r="N232" s="1512"/>
      <c r="O232" s="1512"/>
    </row>
    <row r="233" spans="1:15">
      <c r="A233" s="1512"/>
      <c r="B233" s="1513"/>
      <c r="K233" s="1513"/>
      <c r="L233" s="1513"/>
      <c r="M233" s="1512"/>
      <c r="N233" s="1512"/>
      <c r="O233" s="1512"/>
    </row>
    <row r="234" spans="1:15">
      <c r="A234" s="1512"/>
      <c r="B234" s="1513"/>
      <c r="K234" s="1513"/>
      <c r="L234" s="1513"/>
      <c r="M234" s="1512"/>
      <c r="N234" s="1512"/>
      <c r="O234" s="1512"/>
    </row>
    <row r="235" spans="1:15">
      <c r="A235" s="1512"/>
      <c r="B235" s="1513"/>
      <c r="K235" s="1513"/>
      <c r="L235" s="1513"/>
      <c r="M235" s="1512"/>
      <c r="N235" s="1512"/>
      <c r="O235" s="1512"/>
    </row>
    <row r="236" spans="1:15">
      <c r="A236" s="1512"/>
      <c r="B236" s="1513"/>
      <c r="K236" s="1513"/>
      <c r="L236" s="1513"/>
      <c r="M236" s="1512"/>
      <c r="N236" s="1512"/>
      <c r="O236" s="1512"/>
    </row>
    <row r="237" spans="1:15">
      <c r="A237" s="1512"/>
      <c r="B237" s="1513"/>
      <c r="K237" s="1513"/>
      <c r="L237" s="1513"/>
      <c r="M237" s="1512"/>
      <c r="N237" s="1512"/>
      <c r="O237" s="1512"/>
    </row>
    <row r="238" spans="1:15">
      <c r="A238" s="1512"/>
      <c r="B238" s="1513"/>
      <c r="K238" s="1513"/>
      <c r="L238" s="1513"/>
      <c r="M238" s="1512"/>
      <c r="N238" s="1512"/>
      <c r="O238" s="1512"/>
    </row>
    <row r="239" spans="1:15">
      <c r="A239" s="1512"/>
      <c r="B239" s="1513"/>
      <c r="K239" s="1513"/>
      <c r="L239" s="1513"/>
      <c r="M239" s="1512"/>
      <c r="N239" s="1512"/>
      <c r="O239" s="1512"/>
    </row>
    <row r="240" spans="1:15">
      <c r="A240" s="1512"/>
      <c r="B240" s="1513"/>
      <c r="K240" s="1513"/>
      <c r="L240" s="1513"/>
      <c r="M240" s="1512"/>
      <c r="N240" s="1512"/>
      <c r="O240" s="1512"/>
    </row>
    <row r="241" spans="1:15">
      <c r="A241" s="1512"/>
      <c r="B241" s="1513"/>
      <c r="K241" s="1513"/>
      <c r="L241" s="1513"/>
      <c r="M241" s="1512"/>
      <c r="N241" s="1512"/>
      <c r="O241" s="1512"/>
    </row>
    <row r="242" spans="1:15">
      <c r="A242" s="1512"/>
      <c r="B242" s="1513"/>
      <c r="K242" s="1513"/>
      <c r="L242" s="1513"/>
      <c r="M242" s="1512"/>
      <c r="N242" s="1512"/>
      <c r="O242" s="1512"/>
    </row>
    <row r="243" spans="1:15">
      <c r="A243" s="1512"/>
      <c r="B243" s="1513"/>
      <c r="K243" s="1513"/>
      <c r="L243" s="1513"/>
      <c r="M243" s="1512"/>
      <c r="N243" s="1512"/>
      <c r="O243" s="1512"/>
    </row>
    <row r="244" spans="1:15">
      <c r="A244" s="1512"/>
      <c r="B244" s="1513"/>
      <c r="K244" s="1513"/>
      <c r="L244" s="1513"/>
      <c r="M244" s="1512"/>
      <c r="N244" s="1512"/>
      <c r="O244" s="1512"/>
    </row>
    <row r="245" spans="1:15">
      <c r="A245" s="1512"/>
      <c r="B245" s="1513"/>
      <c r="K245" s="1513"/>
      <c r="L245" s="1513"/>
      <c r="M245" s="1512"/>
      <c r="N245" s="1512"/>
      <c r="O245" s="1512"/>
    </row>
    <row r="246" spans="1:15">
      <c r="A246" s="1512"/>
      <c r="B246" s="1513"/>
      <c r="K246" s="1513"/>
      <c r="L246" s="1513"/>
      <c r="M246" s="1512"/>
      <c r="N246" s="1512"/>
      <c r="O246" s="1512"/>
    </row>
    <row r="247" spans="1:15">
      <c r="A247" s="1512"/>
      <c r="B247" s="1513"/>
      <c r="K247" s="1513"/>
      <c r="L247" s="1513"/>
      <c r="M247" s="1512"/>
      <c r="N247" s="1512"/>
      <c r="O247" s="1512"/>
    </row>
    <row r="248" spans="1:15">
      <c r="A248" s="1512"/>
      <c r="B248" s="1513"/>
      <c r="K248" s="1513"/>
      <c r="L248" s="1513"/>
      <c r="M248" s="1512"/>
      <c r="N248" s="1512"/>
      <c r="O248" s="1512"/>
    </row>
    <row r="249" spans="1:15">
      <c r="A249" s="1512"/>
      <c r="B249" s="1513"/>
      <c r="K249" s="1513"/>
      <c r="L249" s="1513"/>
      <c r="M249" s="1512"/>
      <c r="N249" s="1512"/>
      <c r="O249" s="1512"/>
    </row>
    <row r="250" spans="1:15">
      <c r="A250" s="1512"/>
      <c r="B250" s="1513"/>
      <c r="K250" s="1513"/>
      <c r="L250" s="1513"/>
      <c r="M250" s="1512"/>
      <c r="N250" s="1512"/>
      <c r="O250" s="1512"/>
    </row>
    <row r="251" spans="1:15">
      <c r="A251" s="1512"/>
      <c r="B251" s="1513"/>
      <c r="K251" s="1513"/>
      <c r="L251" s="1513"/>
      <c r="M251" s="1512"/>
      <c r="N251" s="1512"/>
      <c r="O251" s="1512"/>
    </row>
    <row r="252" spans="1:15">
      <c r="A252" s="1512"/>
      <c r="B252" s="1513"/>
      <c r="K252" s="1513"/>
      <c r="L252" s="1513"/>
      <c r="M252" s="1512"/>
      <c r="N252" s="1512"/>
      <c r="O252" s="1512"/>
    </row>
    <row r="253" spans="1:15">
      <c r="A253" s="1512"/>
      <c r="B253" s="1513"/>
      <c r="K253" s="1513"/>
      <c r="L253" s="1513"/>
      <c r="M253" s="1512"/>
      <c r="N253" s="1512"/>
      <c r="O253" s="1512"/>
    </row>
    <row r="254" spans="1:15">
      <c r="A254" s="1512"/>
      <c r="B254" s="1513"/>
      <c r="K254" s="1513"/>
      <c r="L254" s="1513"/>
      <c r="M254" s="1512"/>
      <c r="N254" s="1512"/>
      <c r="O254" s="1512"/>
    </row>
    <row r="255" spans="1:15">
      <c r="A255" s="1512"/>
      <c r="B255" s="1513"/>
      <c r="K255" s="1513"/>
      <c r="L255" s="1513"/>
      <c r="M255" s="1512"/>
      <c r="N255" s="1512"/>
      <c r="O255" s="1512"/>
    </row>
    <row r="256" spans="1:15">
      <c r="A256" s="1512"/>
      <c r="B256" s="1513"/>
      <c r="K256" s="1513"/>
      <c r="L256" s="1513"/>
      <c r="M256" s="1512"/>
      <c r="N256" s="1512"/>
      <c r="O256" s="1512"/>
    </row>
    <row r="257" spans="1:15">
      <c r="A257" s="1512"/>
      <c r="B257" s="1513"/>
      <c r="K257" s="1513"/>
      <c r="L257" s="1513"/>
      <c r="M257" s="1512"/>
      <c r="N257" s="1512"/>
      <c r="O257" s="1512"/>
    </row>
    <row r="258" spans="1:15">
      <c r="A258" s="1512"/>
      <c r="B258" s="1513"/>
      <c r="K258" s="1513"/>
      <c r="L258" s="1513"/>
      <c r="M258" s="1512"/>
      <c r="N258" s="1512"/>
      <c r="O258" s="1512"/>
    </row>
    <row r="259" spans="1:15">
      <c r="A259" s="1512"/>
      <c r="B259" s="1513"/>
      <c r="K259" s="1513"/>
      <c r="L259" s="1513"/>
      <c r="M259" s="1512"/>
      <c r="N259" s="1512"/>
      <c r="O259" s="1512"/>
    </row>
    <row r="260" spans="1:15">
      <c r="A260" s="1512"/>
      <c r="B260" s="1513"/>
      <c r="K260" s="1513"/>
      <c r="L260" s="1513"/>
      <c r="M260" s="1512"/>
      <c r="N260" s="1512"/>
      <c r="O260" s="1512"/>
    </row>
    <row r="261" spans="1:15">
      <c r="A261" s="1512"/>
      <c r="B261" s="1513"/>
      <c r="K261" s="1513"/>
      <c r="L261" s="1513"/>
      <c r="M261" s="1512"/>
      <c r="N261" s="1512"/>
      <c r="O261" s="1512"/>
    </row>
    <row r="262" spans="1:15">
      <c r="A262" s="1512"/>
      <c r="B262" s="1513"/>
      <c r="K262" s="1513"/>
      <c r="L262" s="1513"/>
      <c r="M262" s="1512"/>
      <c r="N262" s="1512"/>
      <c r="O262" s="1512"/>
    </row>
    <row r="263" spans="1:15">
      <c r="A263" s="1512"/>
      <c r="B263" s="1513"/>
      <c r="K263" s="1513"/>
      <c r="L263" s="1513"/>
      <c r="M263" s="1512"/>
      <c r="N263" s="1512"/>
      <c r="O263" s="1512"/>
    </row>
    <row r="264" spans="1:15">
      <c r="A264" s="1512"/>
      <c r="B264" s="1513"/>
      <c r="K264" s="1513"/>
      <c r="L264" s="1513"/>
      <c r="M264" s="1512"/>
      <c r="N264" s="1512"/>
      <c r="O264" s="1512"/>
    </row>
    <row r="265" spans="1:15">
      <c r="A265" s="1512"/>
      <c r="B265" s="1513"/>
      <c r="K265" s="1513"/>
      <c r="L265" s="1513"/>
      <c r="M265" s="1512"/>
      <c r="N265" s="1512"/>
      <c r="O265" s="1512"/>
    </row>
    <row r="266" spans="1:15">
      <c r="A266" s="1512"/>
      <c r="B266" s="1513"/>
      <c r="K266" s="1513"/>
      <c r="L266" s="1513"/>
      <c r="M266" s="1512"/>
      <c r="N266" s="1512"/>
      <c r="O266" s="1512"/>
    </row>
    <row r="267" spans="1:15">
      <c r="A267" s="1512"/>
      <c r="B267" s="1513"/>
      <c r="K267" s="1513"/>
      <c r="L267" s="1513"/>
      <c r="M267" s="1512"/>
      <c r="N267" s="1512"/>
      <c r="O267" s="1512"/>
    </row>
    <row r="268" spans="1:15">
      <c r="A268" s="1512"/>
      <c r="B268" s="1513"/>
      <c r="K268" s="1513"/>
      <c r="L268" s="1513"/>
      <c r="M268" s="1512"/>
      <c r="N268" s="1512"/>
      <c r="O268" s="1512"/>
    </row>
    <row r="269" spans="1:15">
      <c r="A269" s="1512"/>
      <c r="B269" s="1513"/>
      <c r="K269" s="1513"/>
      <c r="L269" s="1513"/>
      <c r="M269" s="1512"/>
      <c r="N269" s="1512"/>
      <c r="O269" s="1512"/>
    </row>
    <row r="270" spans="1:15">
      <c r="A270" s="1512"/>
      <c r="B270" s="1513"/>
      <c r="K270" s="1513"/>
      <c r="L270" s="1513"/>
      <c r="M270" s="1512"/>
      <c r="N270" s="1512"/>
      <c r="O270" s="1512"/>
    </row>
    <row r="271" spans="1:15">
      <c r="A271" s="1512"/>
      <c r="B271" s="1513"/>
      <c r="K271" s="1513"/>
      <c r="L271" s="1513"/>
      <c r="M271" s="1512"/>
      <c r="N271" s="1512"/>
      <c r="O271" s="1512"/>
    </row>
    <row r="272" spans="1:15">
      <c r="A272" s="1512"/>
      <c r="B272" s="1513"/>
      <c r="K272" s="1513"/>
      <c r="L272" s="1513"/>
      <c r="M272" s="1512"/>
      <c r="N272" s="1512"/>
      <c r="O272" s="1512"/>
    </row>
    <row r="273" spans="1:15">
      <c r="A273" s="1512"/>
      <c r="B273" s="1513"/>
      <c r="K273" s="1513"/>
      <c r="L273" s="1513"/>
      <c r="M273" s="1512"/>
      <c r="N273" s="1512"/>
      <c r="O273" s="1512"/>
    </row>
    <row r="274" spans="1:15">
      <c r="A274" s="1512"/>
      <c r="B274" s="1513"/>
      <c r="K274" s="1513"/>
      <c r="L274" s="1513"/>
      <c r="M274" s="1512"/>
      <c r="N274" s="1512"/>
      <c r="O274" s="1512"/>
    </row>
    <row r="275" spans="1:15">
      <c r="A275" s="1512"/>
      <c r="B275" s="1513"/>
      <c r="K275" s="1513"/>
      <c r="L275" s="1513"/>
      <c r="M275" s="1512"/>
      <c r="N275" s="1512"/>
      <c r="O275" s="1512"/>
    </row>
    <row r="276" spans="1:15">
      <c r="A276" s="1512"/>
      <c r="B276" s="1513"/>
      <c r="K276" s="1513"/>
      <c r="L276" s="1513"/>
      <c r="M276" s="1512"/>
      <c r="N276" s="1512"/>
      <c r="O276" s="1512"/>
    </row>
    <row r="277" spans="1:15">
      <c r="A277" s="1512"/>
      <c r="B277" s="1513"/>
      <c r="K277" s="1513"/>
      <c r="L277" s="1513"/>
      <c r="M277" s="1512"/>
      <c r="N277" s="1512"/>
      <c r="O277" s="1512"/>
    </row>
    <row r="278" spans="1:15">
      <c r="A278" s="1512"/>
      <c r="B278" s="1513"/>
      <c r="K278" s="1513"/>
      <c r="L278" s="1513"/>
      <c r="M278" s="1512"/>
      <c r="N278" s="1512"/>
      <c r="O278" s="1512"/>
    </row>
    <row r="279" spans="1:15">
      <c r="A279" s="1512"/>
      <c r="B279" s="1513"/>
      <c r="K279" s="1513"/>
      <c r="L279" s="1513"/>
      <c r="M279" s="1512"/>
      <c r="N279" s="1512"/>
      <c r="O279" s="1512"/>
    </row>
    <row r="280" spans="1:15">
      <c r="A280" s="1512"/>
      <c r="B280" s="1513"/>
      <c r="K280" s="1513"/>
      <c r="L280" s="1513"/>
      <c r="M280" s="1512"/>
      <c r="N280" s="1512"/>
      <c r="O280" s="1512"/>
    </row>
    <row r="281" spans="1:15">
      <c r="A281" s="1512"/>
      <c r="B281" s="1513"/>
      <c r="K281" s="1513"/>
      <c r="L281" s="1513"/>
      <c r="M281" s="1512"/>
      <c r="N281" s="1512"/>
      <c r="O281" s="1512"/>
    </row>
    <row r="282" spans="1:15">
      <c r="A282" s="1512"/>
      <c r="B282" s="1513"/>
      <c r="K282" s="1513"/>
      <c r="L282" s="1513"/>
      <c r="M282" s="1512"/>
      <c r="N282" s="1512"/>
      <c r="O282" s="1512"/>
    </row>
    <row r="283" spans="1:15">
      <c r="A283" s="1512"/>
      <c r="B283" s="1513"/>
      <c r="K283" s="1513"/>
      <c r="L283" s="1513"/>
      <c r="M283" s="1512"/>
      <c r="N283" s="1512"/>
      <c r="O283" s="1512"/>
    </row>
    <row r="284" spans="1:15">
      <c r="A284" s="1512"/>
      <c r="B284" s="1513"/>
      <c r="K284" s="1513"/>
      <c r="L284" s="1513"/>
      <c r="M284" s="1512"/>
      <c r="N284" s="1512"/>
      <c r="O284" s="1512"/>
    </row>
    <row r="285" spans="1:15">
      <c r="A285" s="1512"/>
      <c r="B285" s="1513"/>
      <c r="K285" s="1513"/>
      <c r="L285" s="1513"/>
      <c r="M285" s="1512"/>
      <c r="N285" s="1512"/>
      <c r="O285" s="1512"/>
    </row>
    <row r="286" spans="1:15">
      <c r="A286" s="1512"/>
      <c r="B286" s="1513"/>
      <c r="K286" s="1513"/>
      <c r="L286" s="1513"/>
      <c r="M286" s="1512"/>
      <c r="N286" s="1512"/>
      <c r="O286" s="1512"/>
    </row>
    <row r="287" spans="1:15">
      <c r="A287" s="1512"/>
      <c r="B287" s="1513"/>
      <c r="K287" s="1513"/>
      <c r="L287" s="1513"/>
      <c r="M287" s="1512"/>
      <c r="N287" s="1512"/>
      <c r="O287" s="1512"/>
    </row>
    <row r="288" spans="1:15">
      <c r="A288" s="1512"/>
      <c r="B288" s="1513"/>
      <c r="K288" s="1513"/>
      <c r="L288" s="1513"/>
      <c r="M288" s="1512"/>
      <c r="N288" s="1512"/>
      <c r="O288" s="1512"/>
    </row>
    <row r="289" spans="1:15">
      <c r="A289" s="1512"/>
      <c r="B289" s="1513"/>
      <c r="K289" s="1513"/>
      <c r="L289" s="1513"/>
      <c r="M289" s="1512"/>
      <c r="N289" s="1512"/>
      <c r="O289" s="1512"/>
    </row>
    <row r="290" spans="1:15">
      <c r="A290" s="1512"/>
      <c r="B290" s="1513"/>
      <c r="K290" s="1513"/>
      <c r="L290" s="1513"/>
      <c r="M290" s="1512"/>
      <c r="N290" s="1512"/>
      <c r="O290" s="1512"/>
    </row>
    <row r="291" spans="1:15">
      <c r="A291" s="1512"/>
      <c r="B291" s="1513"/>
      <c r="K291" s="1513"/>
      <c r="L291" s="1513"/>
      <c r="M291" s="1512"/>
      <c r="N291" s="1512"/>
      <c r="O291" s="1512"/>
    </row>
    <row r="292" spans="1:15">
      <c r="A292" s="1512"/>
      <c r="B292" s="1513"/>
      <c r="K292" s="1513"/>
      <c r="L292" s="1513"/>
      <c r="M292" s="1512"/>
      <c r="N292" s="1512"/>
      <c r="O292" s="1512"/>
    </row>
    <row r="293" spans="1:15">
      <c r="A293" s="1512"/>
      <c r="B293" s="1513"/>
      <c r="K293" s="1513"/>
      <c r="L293" s="1513"/>
      <c r="M293" s="1512"/>
      <c r="N293" s="1512"/>
      <c r="O293" s="1512"/>
    </row>
    <row r="294" spans="1:15">
      <c r="A294" s="1512"/>
      <c r="B294" s="1513"/>
      <c r="K294" s="1513"/>
      <c r="L294" s="1513"/>
      <c r="M294" s="1512"/>
      <c r="N294" s="1512"/>
      <c r="O294" s="1512"/>
    </row>
    <row r="295" spans="1:15">
      <c r="A295" s="1512"/>
      <c r="B295" s="1513"/>
      <c r="K295" s="1513"/>
      <c r="L295" s="1513"/>
      <c r="M295" s="1512"/>
      <c r="N295" s="1512"/>
      <c r="O295" s="1512"/>
    </row>
    <row r="296" spans="1:15">
      <c r="A296" s="1512"/>
      <c r="B296" s="1513"/>
      <c r="K296" s="1513"/>
      <c r="L296" s="1513"/>
      <c r="M296" s="1512"/>
      <c r="N296" s="1512"/>
      <c r="O296" s="1512"/>
    </row>
    <row r="297" spans="1:15">
      <c r="A297" s="1512"/>
      <c r="B297" s="1513"/>
      <c r="K297" s="1513"/>
      <c r="L297" s="1513"/>
      <c r="M297" s="1512"/>
      <c r="N297" s="1512"/>
      <c r="O297" s="1512"/>
    </row>
    <row r="298" spans="1:15">
      <c r="A298" s="1512"/>
      <c r="B298" s="1513"/>
      <c r="K298" s="1513"/>
      <c r="L298" s="1513"/>
      <c r="M298" s="1512"/>
      <c r="N298" s="1512"/>
      <c r="O298" s="1512"/>
    </row>
    <row r="299" spans="1:15">
      <c r="A299" s="1512"/>
      <c r="B299" s="1513"/>
      <c r="K299" s="1513"/>
      <c r="L299" s="1513"/>
      <c r="M299" s="1512"/>
      <c r="N299" s="1512"/>
      <c r="O299" s="1512"/>
    </row>
    <row r="300" spans="1:15">
      <c r="A300" s="1512"/>
      <c r="B300" s="1513"/>
      <c r="K300" s="1513"/>
      <c r="L300" s="1513"/>
      <c r="M300" s="1512"/>
      <c r="N300" s="1512"/>
      <c r="O300" s="1512"/>
    </row>
    <row r="301" spans="1:15">
      <c r="A301" s="1512"/>
      <c r="B301" s="1513"/>
      <c r="K301" s="1513"/>
      <c r="L301" s="1513"/>
      <c r="M301" s="1512"/>
      <c r="N301" s="1512"/>
      <c r="O301" s="1512"/>
    </row>
    <row r="302" spans="1:15">
      <c r="A302" s="1512"/>
      <c r="B302" s="1513"/>
      <c r="K302" s="1513"/>
      <c r="L302" s="1513"/>
      <c r="M302" s="1512"/>
      <c r="N302" s="1512"/>
      <c r="O302" s="1512"/>
    </row>
    <row r="303" spans="1:15">
      <c r="A303" s="1512"/>
      <c r="B303" s="1513"/>
      <c r="K303" s="1513"/>
      <c r="L303" s="1513"/>
      <c r="M303" s="1512"/>
      <c r="N303" s="1512"/>
      <c r="O303" s="1512"/>
    </row>
    <row r="304" spans="1:15">
      <c r="A304" s="1512"/>
      <c r="B304" s="1513"/>
      <c r="K304" s="1513"/>
      <c r="L304" s="1513"/>
      <c r="M304" s="1512"/>
      <c r="N304" s="1512"/>
      <c r="O304" s="1512"/>
    </row>
    <row r="305" spans="1:15">
      <c r="A305" s="1512"/>
      <c r="B305" s="1513"/>
      <c r="K305" s="1513"/>
      <c r="L305" s="1513"/>
      <c r="M305" s="1512"/>
      <c r="N305" s="1512"/>
      <c r="O305" s="1512"/>
    </row>
    <row r="306" spans="1:15">
      <c r="A306" s="1512"/>
      <c r="B306" s="1513"/>
      <c r="K306" s="1513"/>
      <c r="L306" s="1513"/>
      <c r="M306" s="1512"/>
      <c r="N306" s="1512"/>
      <c r="O306" s="1512"/>
    </row>
    <row r="307" spans="1:15">
      <c r="A307" s="1512"/>
      <c r="B307" s="1513"/>
      <c r="K307" s="1513"/>
      <c r="L307" s="1513"/>
      <c r="M307" s="1512"/>
      <c r="N307" s="1512"/>
      <c r="O307" s="1512"/>
    </row>
    <row r="308" spans="1:15">
      <c r="A308" s="1512"/>
      <c r="B308" s="1513"/>
      <c r="K308" s="1513"/>
      <c r="L308" s="1513"/>
      <c r="M308" s="1512"/>
      <c r="N308" s="1512"/>
      <c r="O308" s="1512"/>
    </row>
    <row r="309" spans="1:15">
      <c r="A309" s="1512"/>
      <c r="B309" s="1513"/>
      <c r="K309" s="1513"/>
      <c r="L309" s="1513"/>
      <c r="M309" s="1512"/>
      <c r="N309" s="1512"/>
      <c r="O309" s="1512"/>
    </row>
    <row r="310" spans="1:15">
      <c r="A310" s="1512"/>
      <c r="B310" s="1513"/>
      <c r="K310" s="1513"/>
      <c r="L310" s="1513"/>
      <c r="M310" s="1512"/>
      <c r="N310" s="1512"/>
      <c r="O310" s="1512"/>
    </row>
    <row r="311" spans="1:15">
      <c r="A311" s="1512"/>
      <c r="B311" s="1513"/>
      <c r="K311" s="1513"/>
      <c r="L311" s="1513"/>
      <c r="M311" s="1512"/>
      <c r="N311" s="1512"/>
      <c r="O311" s="1512"/>
    </row>
    <row r="312" spans="1:15">
      <c r="A312" s="1512"/>
      <c r="B312" s="1513"/>
      <c r="K312" s="1513"/>
      <c r="L312" s="1513"/>
      <c r="M312" s="1512"/>
      <c r="N312" s="1512"/>
      <c r="O312" s="1512"/>
    </row>
    <row r="313" spans="1:15">
      <c r="A313" s="1512"/>
      <c r="B313" s="1513"/>
      <c r="K313" s="1513"/>
      <c r="L313" s="1513"/>
      <c r="M313" s="1512"/>
      <c r="N313" s="1512"/>
      <c r="O313" s="1512"/>
    </row>
    <row r="314" spans="1:15">
      <c r="A314" s="1512"/>
      <c r="B314" s="1513"/>
      <c r="K314" s="1513"/>
      <c r="L314" s="1513"/>
      <c r="M314" s="1512"/>
      <c r="N314" s="1512"/>
      <c r="O314" s="1512"/>
    </row>
    <row r="315" spans="1:15">
      <c r="A315" s="1512"/>
      <c r="B315" s="1513"/>
      <c r="K315" s="1513"/>
      <c r="L315" s="1513"/>
      <c r="M315" s="1512"/>
      <c r="N315" s="1512"/>
      <c r="O315" s="1512"/>
    </row>
    <row r="316" spans="1:15">
      <c r="A316" s="1512"/>
      <c r="B316" s="1513"/>
      <c r="K316" s="1513"/>
      <c r="L316" s="1513"/>
      <c r="M316" s="1512"/>
      <c r="N316" s="1512"/>
      <c r="O316" s="1512"/>
    </row>
    <row r="317" spans="1:15">
      <c r="A317" s="1512"/>
      <c r="B317" s="1513"/>
      <c r="K317" s="1513"/>
      <c r="L317" s="1513"/>
      <c r="M317" s="1512"/>
      <c r="N317" s="1512"/>
      <c r="O317" s="1512"/>
    </row>
    <row r="318" spans="1:15">
      <c r="A318" s="1512"/>
      <c r="B318" s="1513"/>
      <c r="K318" s="1513"/>
      <c r="L318" s="1513"/>
      <c r="M318" s="1512"/>
      <c r="N318" s="1512"/>
      <c r="O318" s="1512"/>
    </row>
    <row r="319" spans="1:15">
      <c r="A319" s="1512"/>
      <c r="B319" s="1513"/>
      <c r="K319" s="1513"/>
      <c r="L319" s="1513"/>
      <c r="M319" s="1512"/>
      <c r="N319" s="1512"/>
      <c r="O319" s="1512"/>
    </row>
    <row r="320" spans="1:15">
      <c r="A320" s="1512"/>
      <c r="B320" s="1513"/>
      <c r="K320" s="1513"/>
      <c r="L320" s="1513"/>
      <c r="M320" s="1512"/>
      <c r="N320" s="1512"/>
      <c r="O320" s="1512"/>
    </row>
    <row r="321" spans="1:15">
      <c r="A321" s="1512"/>
      <c r="B321" s="1513"/>
      <c r="K321" s="1513"/>
      <c r="L321" s="1513"/>
      <c r="M321" s="1512"/>
      <c r="N321" s="1512"/>
      <c r="O321" s="1512"/>
    </row>
    <row r="322" spans="1:15">
      <c r="A322" s="1512"/>
      <c r="B322" s="1513"/>
      <c r="K322" s="1513"/>
      <c r="L322" s="1513"/>
      <c r="M322" s="1512"/>
      <c r="N322" s="1512"/>
      <c r="O322" s="1512"/>
    </row>
    <row r="323" spans="1:15">
      <c r="A323" s="1512"/>
      <c r="B323" s="1513"/>
      <c r="K323" s="1513"/>
      <c r="L323" s="1513"/>
      <c r="M323" s="1512"/>
      <c r="N323" s="1512"/>
      <c r="O323" s="1512"/>
    </row>
    <row r="324" spans="1:15">
      <c r="A324" s="1512"/>
      <c r="B324" s="1513"/>
      <c r="K324" s="1513"/>
      <c r="L324" s="1513"/>
      <c r="M324" s="1512"/>
      <c r="N324" s="1512"/>
      <c r="O324" s="1512"/>
    </row>
    <row r="325" spans="1:15">
      <c r="A325" s="1512"/>
      <c r="B325" s="1513"/>
      <c r="K325" s="1513"/>
      <c r="L325" s="1513"/>
      <c r="M325" s="1512"/>
      <c r="N325" s="1512"/>
      <c r="O325" s="1512"/>
    </row>
    <row r="326" spans="1:15">
      <c r="A326" s="1512"/>
      <c r="B326" s="1513"/>
      <c r="K326" s="1513"/>
      <c r="L326" s="1513"/>
      <c r="M326" s="1512"/>
      <c r="N326" s="1512"/>
      <c r="O326" s="1512"/>
    </row>
    <row r="327" spans="1:15">
      <c r="A327" s="1512"/>
      <c r="B327" s="1513"/>
      <c r="K327" s="1513"/>
      <c r="L327" s="1513"/>
      <c r="M327" s="1512"/>
      <c r="N327" s="1512"/>
      <c r="O327" s="1512"/>
    </row>
    <row r="328" spans="1:15">
      <c r="A328" s="1512"/>
      <c r="B328" s="1513"/>
      <c r="K328" s="1513"/>
      <c r="L328" s="1513"/>
      <c r="M328" s="1512"/>
      <c r="N328" s="1512"/>
      <c r="O328" s="1512"/>
    </row>
    <row r="329" spans="1:15">
      <c r="A329" s="1512"/>
      <c r="B329" s="1513"/>
      <c r="K329" s="1513"/>
      <c r="L329" s="1513"/>
      <c r="M329" s="1512"/>
      <c r="N329" s="1512"/>
      <c r="O329" s="1512"/>
    </row>
    <row r="330" spans="1:15">
      <c r="A330" s="1512"/>
      <c r="B330" s="1513"/>
      <c r="K330" s="1513"/>
      <c r="L330" s="1513"/>
      <c r="M330" s="1512"/>
      <c r="N330" s="1512"/>
      <c r="O330" s="1512"/>
    </row>
    <row r="331" spans="1:15">
      <c r="A331" s="1512"/>
      <c r="B331" s="1513"/>
      <c r="K331" s="1513"/>
      <c r="L331" s="1513"/>
      <c r="M331" s="1512"/>
      <c r="N331" s="1512"/>
      <c r="O331" s="1512"/>
    </row>
    <row r="332" spans="1:15">
      <c r="A332" s="1512"/>
      <c r="B332" s="1513"/>
      <c r="K332" s="1513"/>
      <c r="L332" s="1513"/>
      <c r="M332" s="1512"/>
      <c r="N332" s="1512"/>
      <c r="O332" s="1512"/>
    </row>
    <row r="333" spans="1:15">
      <c r="A333" s="1512"/>
      <c r="B333" s="1513"/>
      <c r="K333" s="1513"/>
      <c r="L333" s="1513"/>
      <c r="M333" s="1512"/>
      <c r="N333" s="1512"/>
      <c r="O333" s="1512"/>
    </row>
    <row r="334" spans="1:15">
      <c r="A334" s="1512"/>
      <c r="B334" s="1513"/>
      <c r="K334" s="1513"/>
      <c r="L334" s="1513"/>
      <c r="M334" s="1512"/>
      <c r="N334" s="1512"/>
      <c r="O334" s="1512"/>
    </row>
    <row r="335" spans="1:15">
      <c r="A335" s="1512"/>
      <c r="B335" s="1513"/>
      <c r="K335" s="1513"/>
      <c r="L335" s="1513"/>
      <c r="M335" s="1512"/>
      <c r="N335" s="1512"/>
      <c r="O335" s="1512"/>
    </row>
    <row r="336" spans="1:15">
      <c r="A336" s="1512"/>
      <c r="B336" s="1513"/>
      <c r="K336" s="1513"/>
      <c r="L336" s="1513"/>
      <c r="M336" s="1512"/>
      <c r="N336" s="1512"/>
      <c r="O336" s="1512"/>
    </row>
    <row r="337" spans="1:15">
      <c r="A337" s="1512"/>
      <c r="B337" s="1513"/>
      <c r="K337" s="1513"/>
      <c r="L337" s="1513"/>
      <c r="M337" s="1512"/>
      <c r="N337" s="1512"/>
      <c r="O337" s="1512"/>
    </row>
    <row r="338" spans="1:15">
      <c r="A338" s="1512"/>
      <c r="B338" s="1513"/>
      <c r="K338" s="1513"/>
      <c r="L338" s="1513"/>
      <c r="M338" s="1512"/>
      <c r="N338" s="1512"/>
      <c r="O338" s="1512"/>
    </row>
    <row r="339" spans="1:15">
      <c r="A339" s="1512"/>
      <c r="B339" s="1513"/>
      <c r="K339" s="1513"/>
      <c r="L339" s="1513"/>
      <c r="M339" s="1512"/>
      <c r="N339" s="1512"/>
      <c r="O339" s="1512"/>
    </row>
    <row r="340" spans="1:15">
      <c r="A340" s="1512"/>
      <c r="B340" s="1513"/>
      <c r="K340" s="1513"/>
      <c r="L340" s="1513"/>
      <c r="M340" s="1512"/>
      <c r="N340" s="1512"/>
      <c r="O340" s="1512"/>
    </row>
    <row r="341" spans="1:15">
      <c r="A341" s="1512"/>
      <c r="B341" s="1513"/>
      <c r="K341" s="1513"/>
      <c r="L341" s="1513"/>
      <c r="M341" s="1512"/>
      <c r="N341" s="1512"/>
      <c r="O341" s="1512"/>
    </row>
    <row r="342" spans="1:15">
      <c r="A342" s="1512"/>
      <c r="B342" s="1513"/>
      <c r="K342" s="1513"/>
      <c r="L342" s="1513"/>
      <c r="M342" s="1512"/>
      <c r="N342" s="1512"/>
      <c r="O342" s="1512"/>
    </row>
    <row r="343" spans="1:15">
      <c r="A343" s="1512"/>
      <c r="B343" s="1513"/>
      <c r="K343" s="1513"/>
      <c r="L343" s="1513"/>
      <c r="M343" s="1512"/>
      <c r="N343" s="1512"/>
      <c r="O343" s="1512"/>
    </row>
    <row r="344" spans="1:15">
      <c r="A344" s="1512"/>
      <c r="B344" s="1513"/>
      <c r="K344" s="1513"/>
      <c r="L344" s="1513"/>
      <c r="M344" s="1512"/>
      <c r="N344" s="1512"/>
      <c r="O344" s="1512"/>
    </row>
    <row r="345" spans="1:15">
      <c r="A345" s="1512"/>
      <c r="B345" s="1513"/>
      <c r="K345" s="1513"/>
      <c r="L345" s="1513"/>
      <c r="M345" s="1512"/>
      <c r="N345" s="1512"/>
      <c r="O345" s="1512"/>
    </row>
    <row r="346" spans="1:15">
      <c r="A346" s="1512"/>
      <c r="B346" s="1513"/>
      <c r="K346" s="1513"/>
      <c r="L346" s="1513"/>
      <c r="M346" s="1512"/>
      <c r="N346" s="1512"/>
      <c r="O346" s="1512"/>
    </row>
    <row r="347" spans="1:15">
      <c r="A347" s="1512"/>
      <c r="B347" s="1513"/>
      <c r="K347" s="1513"/>
      <c r="L347" s="1513"/>
      <c r="M347" s="1512"/>
      <c r="N347" s="1512"/>
      <c r="O347" s="1512"/>
    </row>
    <row r="348" spans="1:15">
      <c r="A348" s="1512"/>
      <c r="B348" s="1513"/>
      <c r="K348" s="1513"/>
      <c r="L348" s="1513"/>
      <c r="M348" s="1512"/>
      <c r="N348" s="1512"/>
      <c r="O348" s="1512"/>
    </row>
    <row r="349" spans="1:15">
      <c r="A349" s="1512"/>
      <c r="B349" s="1513"/>
      <c r="K349" s="1513"/>
      <c r="L349" s="1513"/>
      <c r="M349" s="1512"/>
      <c r="N349" s="1512"/>
      <c r="O349" s="1512"/>
    </row>
    <row r="350" spans="1:15">
      <c r="A350" s="1512"/>
      <c r="B350" s="1513"/>
      <c r="K350" s="1513"/>
      <c r="L350" s="1513"/>
      <c r="M350" s="1512"/>
      <c r="N350" s="1512"/>
      <c r="O350" s="1512"/>
    </row>
    <row r="351" spans="1:15">
      <c r="A351" s="1512"/>
      <c r="B351" s="1513"/>
      <c r="K351" s="1513"/>
      <c r="L351" s="1513"/>
      <c r="M351" s="1512"/>
      <c r="N351" s="1512"/>
      <c r="O351" s="1512"/>
    </row>
    <row r="352" spans="1:15">
      <c r="A352" s="1512"/>
      <c r="B352" s="1513"/>
      <c r="K352" s="1513"/>
      <c r="L352" s="1513"/>
      <c r="M352" s="1512"/>
      <c r="N352" s="1512"/>
      <c r="O352" s="1512"/>
    </row>
    <row r="353" spans="1:15">
      <c r="B353" s="1513"/>
      <c r="K353" s="1513"/>
      <c r="L353" s="1513"/>
    </row>
    <row r="354" spans="1:15" ht="13.5" thickBot="1">
      <c r="B354" s="1513"/>
      <c r="K354" s="1513"/>
      <c r="L354" s="1513"/>
    </row>
    <row r="355" spans="1:15">
      <c r="A355" s="2163"/>
      <c r="B355" s="1793"/>
      <c r="C355" s="2164"/>
      <c r="D355" s="1794"/>
      <c r="E355" s="1794"/>
      <c r="F355" s="1794"/>
      <c r="G355" s="1794"/>
      <c r="H355" s="1794"/>
      <c r="I355" s="1794"/>
      <c r="J355" s="1794"/>
      <c r="K355" s="1794"/>
      <c r="L355" s="1794"/>
      <c r="M355" s="2165"/>
      <c r="N355" s="1795"/>
      <c r="O355" s="1795"/>
    </row>
    <row r="356" spans="1:15">
      <c r="A356" s="2166"/>
      <c r="B356" s="1513"/>
      <c r="K356" s="1513"/>
      <c r="L356" s="1513"/>
      <c r="M356" s="2167"/>
      <c r="N356" s="2835"/>
      <c r="O356" s="2835"/>
    </row>
    <row r="357" spans="1:15">
      <c r="A357" s="2166"/>
      <c r="B357" s="1513"/>
      <c r="K357" s="1513"/>
      <c r="L357" s="1513"/>
      <c r="M357" s="2167"/>
      <c r="N357" s="2835"/>
      <c r="O357" s="2835"/>
    </row>
    <row r="358" spans="1:15">
      <c r="A358" s="2166"/>
      <c r="B358" s="1513"/>
      <c r="K358" s="1513"/>
      <c r="L358" s="1513"/>
      <c r="M358" s="2167"/>
      <c r="N358" s="2835"/>
      <c r="O358" s="2835"/>
    </row>
    <row r="359" spans="1:15">
      <c r="A359" s="2166"/>
      <c r="B359" s="1513"/>
      <c r="K359" s="1513"/>
      <c r="L359" s="1513"/>
      <c r="M359" s="2167"/>
      <c r="N359" s="2835"/>
      <c r="O359" s="2835"/>
    </row>
    <row r="360" spans="1:15">
      <c r="A360" s="2166"/>
      <c r="B360" s="1513"/>
      <c r="K360" s="1513"/>
      <c r="L360" s="1513"/>
      <c r="M360" s="2167"/>
      <c r="N360" s="2835"/>
      <c r="O360" s="2835"/>
    </row>
    <row r="361" spans="1:15">
      <c r="A361" s="2166"/>
      <c r="B361" s="1513"/>
      <c r="K361" s="1513"/>
      <c r="L361" s="1513"/>
      <c r="M361" s="2167"/>
      <c r="N361" s="2835"/>
      <c r="O361" s="2835"/>
    </row>
    <row r="362" spans="1:15">
      <c r="A362" s="2166"/>
      <c r="B362" s="1513"/>
      <c r="K362" s="1513"/>
      <c r="L362" s="1513"/>
      <c r="M362" s="2167"/>
      <c r="N362" s="2835"/>
      <c r="O362" s="2835"/>
    </row>
    <row r="363" spans="1:15">
      <c r="A363" s="2166"/>
      <c r="B363" s="1513"/>
      <c r="K363" s="1513"/>
      <c r="L363" s="1513"/>
      <c r="M363" s="2167"/>
      <c r="N363" s="2835"/>
      <c r="O363" s="2835"/>
    </row>
    <row r="364" spans="1:15">
      <c r="A364" s="2166"/>
      <c r="B364" s="1513"/>
      <c r="K364" s="1513"/>
      <c r="L364" s="1513"/>
      <c r="M364" s="2167"/>
      <c r="N364" s="2835"/>
      <c r="O364" s="2835"/>
    </row>
    <row r="365" spans="1:15">
      <c r="A365" s="2166"/>
      <c r="B365" s="1513"/>
      <c r="K365" s="1513"/>
      <c r="L365" s="1513"/>
      <c r="M365" s="2167"/>
      <c r="N365" s="2835"/>
      <c r="O365" s="2835"/>
    </row>
    <row r="366" spans="1:15" ht="13.5" thickBot="1">
      <c r="A366" s="2168"/>
      <c r="B366" s="1796"/>
      <c r="C366" s="2169"/>
      <c r="D366" s="1796"/>
      <c r="E366" s="1796"/>
      <c r="F366" s="1796"/>
      <c r="G366" s="1796"/>
      <c r="H366" s="1796"/>
      <c r="I366" s="1796"/>
      <c r="J366" s="1796"/>
      <c r="K366" s="1796"/>
      <c r="L366" s="1796"/>
      <c r="M366" s="2170"/>
      <c r="N366" s="795"/>
      <c r="O366" s="795"/>
    </row>
    <row r="367" spans="1:15">
      <c r="B367" s="1513"/>
      <c r="K367" s="1513"/>
      <c r="L367" s="1513"/>
    </row>
    <row r="368" spans="1:15">
      <c r="B368" s="1513"/>
      <c r="K368" s="1513"/>
      <c r="L368" s="1513"/>
    </row>
    <row r="369" spans="1:15">
      <c r="A369" s="1512"/>
      <c r="B369" s="1513"/>
      <c r="K369" s="1513"/>
      <c r="L369" s="1513"/>
      <c r="M369" s="1512"/>
      <c r="N369" s="1512"/>
      <c r="O369" s="1512"/>
    </row>
    <row r="370" spans="1:15">
      <c r="A370" s="1512"/>
      <c r="B370" s="1513"/>
      <c r="K370" s="1513"/>
      <c r="L370" s="1513"/>
      <c r="M370" s="1512"/>
      <c r="N370" s="1512"/>
      <c r="O370" s="1512"/>
    </row>
    <row r="371" spans="1:15">
      <c r="A371" s="1512"/>
      <c r="B371" s="1513"/>
      <c r="K371" s="1513"/>
      <c r="L371" s="1513"/>
      <c r="M371" s="1512"/>
      <c r="N371" s="1512"/>
      <c r="O371" s="1512"/>
    </row>
    <row r="372" spans="1:15">
      <c r="A372" s="1512"/>
      <c r="B372" s="1513"/>
      <c r="K372" s="1513"/>
      <c r="L372" s="1513"/>
      <c r="M372" s="1512"/>
      <c r="N372" s="1512"/>
      <c r="O372" s="1512"/>
    </row>
    <row r="373" spans="1:15">
      <c r="A373" s="1512"/>
      <c r="B373" s="1513"/>
      <c r="K373" s="1513"/>
      <c r="L373" s="1513"/>
      <c r="M373" s="1512"/>
      <c r="N373" s="1512"/>
      <c r="O373" s="1512"/>
    </row>
    <row r="374" spans="1:15">
      <c r="A374" s="1512"/>
      <c r="B374" s="1513"/>
      <c r="K374" s="1513"/>
      <c r="L374" s="1513"/>
      <c r="M374" s="1512"/>
      <c r="N374" s="1512"/>
      <c r="O374" s="1512"/>
    </row>
    <row r="375" spans="1:15">
      <c r="A375" s="1512"/>
      <c r="B375" s="1513"/>
      <c r="K375" s="1513"/>
      <c r="L375" s="1513"/>
      <c r="M375" s="1512"/>
      <c r="N375" s="1512"/>
      <c r="O375" s="1512"/>
    </row>
    <row r="376" spans="1:15">
      <c r="A376" s="1512"/>
      <c r="B376" s="1513"/>
      <c r="K376" s="1513"/>
      <c r="L376" s="1513"/>
      <c r="M376" s="1512"/>
      <c r="N376" s="1512"/>
      <c r="O376" s="1512"/>
    </row>
    <row r="377" spans="1:15">
      <c r="A377" s="1512"/>
      <c r="B377" s="1513"/>
      <c r="K377" s="1513"/>
      <c r="L377" s="1513"/>
      <c r="M377" s="1512"/>
      <c r="N377" s="1512"/>
      <c r="O377" s="1512"/>
    </row>
    <row r="378" spans="1:15">
      <c r="A378" s="1512"/>
      <c r="B378" s="1513"/>
      <c r="K378" s="1513"/>
      <c r="L378" s="1513"/>
      <c r="M378" s="1512"/>
      <c r="N378" s="1512"/>
      <c r="O378" s="1512"/>
    </row>
    <row r="379" spans="1:15">
      <c r="A379" s="1512"/>
      <c r="B379" s="1513"/>
      <c r="K379" s="1513"/>
      <c r="L379" s="1513"/>
      <c r="M379" s="1512"/>
      <c r="N379" s="1512"/>
      <c r="O379" s="1512"/>
    </row>
    <row r="380" spans="1:15">
      <c r="A380" s="1512"/>
      <c r="B380" s="1513"/>
      <c r="K380" s="1513"/>
      <c r="L380" s="1513"/>
      <c r="M380" s="1512"/>
      <c r="N380" s="1512"/>
      <c r="O380" s="1512"/>
    </row>
    <row r="381" spans="1:15">
      <c r="A381" s="1512"/>
      <c r="B381" s="1513"/>
      <c r="K381" s="1513"/>
      <c r="L381" s="1513"/>
      <c r="M381" s="1512"/>
      <c r="N381" s="1512"/>
      <c r="O381" s="1512"/>
    </row>
    <row r="382" spans="1:15">
      <c r="A382" s="1512"/>
      <c r="B382" s="1513"/>
      <c r="K382" s="1513"/>
      <c r="L382" s="1513"/>
      <c r="M382" s="1512"/>
      <c r="N382" s="1512"/>
      <c r="O382" s="1512"/>
    </row>
    <row r="383" spans="1:15">
      <c r="A383" s="1512"/>
      <c r="B383" s="1513"/>
      <c r="K383" s="1513"/>
      <c r="L383" s="1513"/>
      <c r="M383" s="1512"/>
      <c r="N383" s="1512"/>
      <c r="O383" s="1512"/>
    </row>
    <row r="384" spans="1:15">
      <c r="A384" s="1512"/>
      <c r="B384" s="1513"/>
      <c r="K384" s="1513"/>
      <c r="L384" s="1513"/>
      <c r="M384" s="1512"/>
      <c r="N384" s="1512"/>
      <c r="O384" s="1512"/>
    </row>
    <row r="385" spans="1:15">
      <c r="A385" s="1512"/>
      <c r="B385" s="1513"/>
      <c r="K385" s="1513"/>
      <c r="L385" s="1513"/>
      <c r="M385" s="1512"/>
      <c r="N385" s="1512"/>
      <c r="O385" s="1512"/>
    </row>
    <row r="386" spans="1:15">
      <c r="A386" s="1512"/>
      <c r="B386" s="1513"/>
      <c r="K386" s="1513"/>
      <c r="L386" s="1513"/>
      <c r="M386" s="1512"/>
      <c r="N386" s="1512"/>
      <c r="O386" s="1512"/>
    </row>
    <row r="387" spans="1:15">
      <c r="A387" s="1512"/>
      <c r="B387" s="1513"/>
      <c r="K387" s="1513"/>
      <c r="L387" s="1513"/>
      <c r="M387" s="1512"/>
      <c r="N387" s="1512"/>
      <c r="O387" s="1512"/>
    </row>
    <row r="388" spans="1:15">
      <c r="A388" s="1512"/>
      <c r="B388" s="1513"/>
      <c r="K388" s="1513"/>
      <c r="L388" s="1513"/>
      <c r="M388" s="1512"/>
      <c r="N388" s="1512"/>
      <c r="O388" s="1512"/>
    </row>
    <row r="389" spans="1:15">
      <c r="A389" s="1512"/>
      <c r="B389" s="1513"/>
      <c r="K389" s="1513"/>
      <c r="L389" s="1513"/>
      <c r="M389" s="1512"/>
      <c r="N389" s="1512"/>
      <c r="O389" s="1512"/>
    </row>
    <row r="390" spans="1:15">
      <c r="A390" s="1512"/>
      <c r="B390" s="1513"/>
      <c r="K390" s="1513"/>
      <c r="L390" s="1513"/>
      <c r="M390" s="1512"/>
      <c r="N390" s="1512"/>
      <c r="O390" s="1512"/>
    </row>
    <row r="391" spans="1:15">
      <c r="A391" s="1512"/>
      <c r="B391" s="1513"/>
      <c r="K391" s="1513"/>
      <c r="L391" s="1513"/>
      <c r="M391" s="1512"/>
      <c r="N391" s="1512"/>
      <c r="O391" s="1512"/>
    </row>
    <row r="392" spans="1:15">
      <c r="A392" s="1512"/>
      <c r="B392" s="1513"/>
      <c r="K392" s="1513"/>
      <c r="L392" s="1513"/>
      <c r="M392" s="1512"/>
      <c r="N392" s="1512"/>
      <c r="O392" s="1512"/>
    </row>
    <row r="393" spans="1:15">
      <c r="A393" s="1512"/>
      <c r="B393" s="1513"/>
      <c r="K393" s="1513"/>
      <c r="L393" s="1513"/>
      <c r="M393" s="1512"/>
      <c r="N393" s="1512"/>
      <c r="O393" s="1512"/>
    </row>
    <row r="394" spans="1:15">
      <c r="A394" s="1512"/>
      <c r="B394" s="1513"/>
      <c r="K394" s="1513"/>
      <c r="L394" s="1513"/>
      <c r="M394" s="1512"/>
      <c r="N394" s="1512"/>
      <c r="O394" s="1512"/>
    </row>
    <row r="395" spans="1:15">
      <c r="A395" s="1512"/>
      <c r="B395" s="1513"/>
      <c r="K395" s="1513"/>
      <c r="L395" s="1513"/>
      <c r="M395" s="1512"/>
      <c r="N395" s="1512"/>
      <c r="O395" s="1512"/>
    </row>
    <row r="396" spans="1:15">
      <c r="A396" s="1512"/>
      <c r="B396" s="1513"/>
      <c r="K396" s="1513"/>
      <c r="L396" s="1513"/>
      <c r="M396" s="1512"/>
      <c r="N396" s="1512"/>
      <c r="O396" s="1512"/>
    </row>
    <row r="397" spans="1:15">
      <c r="A397" s="1512"/>
      <c r="B397" s="1513"/>
      <c r="K397" s="1513"/>
      <c r="L397" s="1513"/>
      <c r="M397" s="1512"/>
      <c r="N397" s="1512"/>
      <c r="O397" s="1512"/>
    </row>
    <row r="398" spans="1:15">
      <c r="A398" s="1512"/>
      <c r="B398" s="1513"/>
      <c r="K398" s="1513"/>
      <c r="L398" s="1513"/>
      <c r="M398" s="1512"/>
      <c r="N398" s="1512"/>
      <c r="O398" s="1512"/>
    </row>
    <row r="399" spans="1:15">
      <c r="A399" s="1512"/>
      <c r="B399" s="1513"/>
      <c r="K399" s="1513"/>
      <c r="L399" s="1513"/>
      <c r="M399" s="1512"/>
      <c r="N399" s="1512"/>
      <c r="O399" s="1512"/>
    </row>
    <row r="400" spans="1:15">
      <c r="A400" s="1512"/>
      <c r="B400" s="1513"/>
      <c r="K400" s="1513"/>
      <c r="L400" s="1513"/>
      <c r="M400" s="1512"/>
      <c r="N400" s="1512"/>
      <c r="O400" s="1512"/>
    </row>
    <row r="401" spans="1:15">
      <c r="A401" s="1512"/>
      <c r="B401" s="1513"/>
      <c r="K401" s="1513"/>
      <c r="L401" s="1513"/>
      <c r="M401" s="1512"/>
      <c r="N401" s="1512"/>
      <c r="O401" s="1512"/>
    </row>
    <row r="402" spans="1:15">
      <c r="A402" s="1512"/>
      <c r="B402" s="1513"/>
      <c r="K402" s="1513"/>
      <c r="L402" s="1513"/>
      <c r="M402" s="1512"/>
      <c r="N402" s="1512"/>
      <c r="O402" s="1512"/>
    </row>
    <row r="403" spans="1:15">
      <c r="A403" s="1512"/>
      <c r="B403" s="1513"/>
      <c r="K403" s="1513"/>
      <c r="L403" s="1513"/>
      <c r="M403" s="1512"/>
      <c r="N403" s="1512"/>
      <c r="O403" s="1512"/>
    </row>
    <row r="404" spans="1:15">
      <c r="A404" s="1512"/>
      <c r="B404" s="1513"/>
      <c r="K404" s="1513"/>
      <c r="L404" s="1513"/>
      <c r="M404" s="1512"/>
      <c r="N404" s="1512"/>
      <c r="O404" s="1512"/>
    </row>
    <row r="405" spans="1:15">
      <c r="A405" s="1512"/>
      <c r="B405" s="1513"/>
      <c r="K405" s="1513"/>
      <c r="L405" s="1513"/>
      <c r="M405" s="1512"/>
      <c r="N405" s="1512"/>
      <c r="O405" s="1512"/>
    </row>
    <row r="406" spans="1:15">
      <c r="A406" s="1512"/>
      <c r="B406" s="1513"/>
      <c r="K406" s="1513"/>
      <c r="L406" s="1513"/>
      <c r="M406" s="1512"/>
      <c r="N406" s="1512"/>
      <c r="O406" s="1512"/>
    </row>
    <row r="407" spans="1:15">
      <c r="A407" s="1512"/>
      <c r="B407" s="1513"/>
      <c r="K407" s="1513"/>
      <c r="L407" s="1513"/>
      <c r="M407" s="1512"/>
      <c r="N407" s="1512"/>
      <c r="O407" s="1512"/>
    </row>
    <row r="408" spans="1:15">
      <c r="A408" s="1512"/>
      <c r="B408" s="1513"/>
      <c r="K408" s="1513"/>
      <c r="L408" s="1513"/>
      <c r="M408" s="1512"/>
      <c r="N408" s="1512"/>
      <c r="O408" s="1512"/>
    </row>
    <row r="409" spans="1:15">
      <c r="A409" s="1512"/>
      <c r="B409" s="1513"/>
      <c r="K409" s="1513"/>
      <c r="L409" s="1513"/>
      <c r="M409" s="1512"/>
      <c r="N409" s="1512"/>
      <c r="O409" s="1512"/>
    </row>
    <row r="410" spans="1:15">
      <c r="A410" s="1512"/>
      <c r="B410" s="1513"/>
      <c r="K410" s="1513"/>
      <c r="L410" s="1513"/>
      <c r="M410" s="1512"/>
      <c r="N410" s="1512"/>
      <c r="O410" s="1512"/>
    </row>
    <row r="411" spans="1:15">
      <c r="A411" s="1512"/>
      <c r="B411" s="1513"/>
      <c r="K411" s="1513"/>
      <c r="L411" s="1513"/>
      <c r="M411" s="1512"/>
      <c r="N411" s="1512"/>
      <c r="O411" s="1512"/>
    </row>
    <row r="412" spans="1:15">
      <c r="A412" s="1512"/>
      <c r="B412" s="1513"/>
      <c r="K412" s="1513"/>
      <c r="L412" s="1513"/>
      <c r="M412" s="1512"/>
      <c r="N412" s="1512"/>
      <c r="O412" s="1512"/>
    </row>
    <row r="413" spans="1:15">
      <c r="A413" s="1512"/>
      <c r="B413" s="1513"/>
      <c r="K413" s="1513"/>
      <c r="L413" s="1513"/>
      <c r="M413" s="1512"/>
      <c r="N413" s="1512"/>
      <c r="O413" s="1512"/>
    </row>
    <row r="414" spans="1:15">
      <c r="A414" s="1512"/>
      <c r="B414" s="1513"/>
      <c r="K414" s="1513"/>
      <c r="L414" s="1513"/>
      <c r="M414" s="1512"/>
      <c r="N414" s="1512"/>
      <c r="O414" s="1512"/>
    </row>
    <row r="415" spans="1:15">
      <c r="A415" s="1512"/>
      <c r="B415" s="1513"/>
      <c r="K415" s="1513"/>
      <c r="L415" s="1513"/>
      <c r="M415" s="1512"/>
      <c r="N415" s="1512"/>
      <c r="O415" s="1512"/>
    </row>
    <row r="416" spans="1:15">
      <c r="A416" s="1512"/>
      <c r="B416" s="1513"/>
      <c r="K416" s="1513"/>
      <c r="L416" s="1513"/>
      <c r="M416" s="1512"/>
      <c r="N416" s="1512"/>
      <c r="O416" s="1512"/>
    </row>
    <row r="417" spans="1:15">
      <c r="A417" s="1512"/>
      <c r="B417" s="1513"/>
      <c r="K417" s="1513"/>
      <c r="L417" s="1513"/>
      <c r="M417" s="1512"/>
      <c r="N417" s="1512"/>
      <c r="O417" s="1512"/>
    </row>
    <row r="418" spans="1:15">
      <c r="A418" s="1512"/>
      <c r="B418" s="1513"/>
      <c r="K418" s="1513"/>
      <c r="L418" s="1513"/>
      <c r="M418" s="1512"/>
      <c r="N418" s="1512"/>
      <c r="O418" s="1512"/>
    </row>
    <row r="419" spans="1:15">
      <c r="A419" s="1512"/>
      <c r="B419" s="1513"/>
      <c r="K419" s="1513"/>
      <c r="L419" s="1513"/>
      <c r="M419" s="1512"/>
      <c r="N419" s="1512"/>
      <c r="O419" s="1512"/>
    </row>
    <row r="420" spans="1:15">
      <c r="A420" s="1512"/>
      <c r="B420" s="1513"/>
      <c r="K420" s="1513"/>
      <c r="L420" s="1513"/>
      <c r="M420" s="1512"/>
      <c r="N420" s="1512"/>
      <c r="O420" s="1512"/>
    </row>
    <row r="421" spans="1:15">
      <c r="A421" s="1512"/>
      <c r="B421" s="1513"/>
      <c r="K421" s="1513"/>
      <c r="L421" s="1513"/>
      <c r="M421" s="1512"/>
      <c r="N421" s="1512"/>
      <c r="O421" s="1512"/>
    </row>
    <row r="422" spans="1:15">
      <c r="A422" s="1512"/>
      <c r="B422" s="1513"/>
      <c r="K422" s="1513"/>
      <c r="L422" s="1513"/>
      <c r="M422" s="1512"/>
      <c r="N422" s="1512"/>
      <c r="O422" s="1512"/>
    </row>
    <row r="423" spans="1:15">
      <c r="A423" s="1512"/>
      <c r="B423" s="1513"/>
      <c r="K423" s="1513"/>
      <c r="L423" s="1513"/>
      <c r="M423" s="1512"/>
      <c r="N423" s="1512"/>
      <c r="O423" s="1512"/>
    </row>
    <row r="424" spans="1:15">
      <c r="A424" s="1512"/>
      <c r="B424" s="1513"/>
      <c r="K424" s="1513"/>
      <c r="L424" s="1513"/>
      <c r="M424" s="1512"/>
      <c r="N424" s="1512"/>
      <c r="O424" s="1512"/>
    </row>
    <row r="425" spans="1:15">
      <c r="A425" s="1512"/>
      <c r="B425" s="1513"/>
      <c r="K425" s="1513"/>
      <c r="L425" s="1513"/>
      <c r="M425" s="1512"/>
      <c r="N425" s="1512"/>
      <c r="O425" s="1512"/>
    </row>
    <row r="426" spans="1:15">
      <c r="A426" s="1512"/>
      <c r="B426" s="1513"/>
      <c r="K426" s="1513"/>
      <c r="L426" s="1513"/>
      <c r="M426" s="1512"/>
      <c r="N426" s="1512"/>
      <c r="O426" s="1512"/>
    </row>
    <row r="427" spans="1:15">
      <c r="A427" s="1512"/>
      <c r="B427" s="1513"/>
      <c r="K427" s="1513"/>
      <c r="L427" s="1513"/>
      <c r="M427" s="1512"/>
      <c r="N427" s="1512"/>
      <c r="O427" s="1512"/>
    </row>
    <row r="428" spans="1:15">
      <c r="A428" s="1512"/>
      <c r="B428" s="1513"/>
      <c r="K428" s="1513"/>
      <c r="L428" s="1513"/>
      <c r="M428" s="1512"/>
      <c r="N428" s="1512"/>
      <c r="O428" s="1512"/>
    </row>
    <row r="429" spans="1:15">
      <c r="A429" s="1512"/>
      <c r="B429" s="1513"/>
      <c r="K429" s="1513"/>
      <c r="L429" s="1513"/>
      <c r="M429" s="1512"/>
      <c r="N429" s="1512"/>
      <c r="O429" s="1512"/>
    </row>
    <row r="430" spans="1:15">
      <c r="A430" s="1512"/>
      <c r="B430" s="1513"/>
      <c r="K430" s="1513"/>
      <c r="L430" s="1513"/>
      <c r="M430" s="1512"/>
      <c r="N430" s="1512"/>
      <c r="O430" s="1512"/>
    </row>
    <row r="431" spans="1:15">
      <c r="A431" s="1512"/>
      <c r="B431" s="1513"/>
      <c r="K431" s="1513"/>
      <c r="L431" s="1513"/>
      <c r="M431" s="1512"/>
      <c r="N431" s="1512"/>
      <c r="O431" s="1512"/>
    </row>
    <row r="432" spans="1:15">
      <c r="A432" s="1512"/>
      <c r="B432" s="1513"/>
      <c r="K432" s="1513"/>
      <c r="L432" s="1513"/>
      <c r="M432" s="1512"/>
      <c r="N432" s="1512"/>
      <c r="O432" s="1512"/>
    </row>
    <row r="433" spans="1:15">
      <c r="A433" s="1512"/>
      <c r="B433" s="1513"/>
      <c r="K433" s="1513"/>
      <c r="L433" s="1513"/>
      <c r="M433" s="1512"/>
      <c r="N433" s="1512"/>
      <c r="O433" s="1512"/>
    </row>
    <row r="434" spans="1:15">
      <c r="A434" s="1512"/>
      <c r="B434" s="1513"/>
      <c r="K434" s="1513"/>
      <c r="L434" s="1513"/>
      <c r="M434" s="1512"/>
      <c r="N434" s="1512"/>
      <c r="O434" s="1512"/>
    </row>
    <row r="435" spans="1:15">
      <c r="A435" s="1512"/>
      <c r="B435" s="1513"/>
      <c r="K435" s="1513"/>
      <c r="L435" s="1513"/>
      <c r="M435" s="1512"/>
      <c r="N435" s="1512"/>
      <c r="O435" s="1512"/>
    </row>
    <row r="436" spans="1:15">
      <c r="A436" s="1512"/>
      <c r="B436" s="1513"/>
      <c r="K436" s="1513"/>
      <c r="L436" s="1513"/>
      <c r="M436" s="1512"/>
      <c r="N436" s="1512"/>
      <c r="O436" s="1512"/>
    </row>
    <row r="437" spans="1:15">
      <c r="A437" s="1512"/>
      <c r="B437" s="1513"/>
      <c r="K437" s="1513"/>
      <c r="L437" s="1513"/>
      <c r="M437" s="1512"/>
      <c r="N437" s="1512"/>
      <c r="O437" s="1512"/>
    </row>
    <row r="438" spans="1:15">
      <c r="A438" s="1512"/>
      <c r="B438" s="1513"/>
      <c r="K438" s="1513"/>
      <c r="L438" s="1513"/>
      <c r="M438" s="1512"/>
      <c r="N438" s="1512"/>
      <c r="O438" s="1512"/>
    </row>
    <row r="439" spans="1:15">
      <c r="A439" s="1512"/>
      <c r="B439" s="1513"/>
      <c r="K439" s="1513"/>
      <c r="L439" s="1513"/>
      <c r="M439" s="1512"/>
      <c r="N439" s="1512"/>
      <c r="O439" s="1512"/>
    </row>
    <row r="440" spans="1:15">
      <c r="A440" s="1512"/>
      <c r="B440" s="1513"/>
      <c r="K440" s="1513"/>
      <c r="L440" s="1513"/>
      <c r="M440" s="1512"/>
      <c r="N440" s="1512"/>
      <c r="O440" s="1512"/>
    </row>
    <row r="441" spans="1:15">
      <c r="A441" s="1512"/>
      <c r="B441" s="1513"/>
      <c r="K441" s="1513"/>
      <c r="L441" s="1513"/>
      <c r="M441" s="1512"/>
      <c r="N441" s="1512"/>
      <c r="O441" s="1512"/>
    </row>
    <row r="442" spans="1:15">
      <c r="A442" s="1512"/>
      <c r="B442" s="1513"/>
      <c r="K442" s="1513"/>
      <c r="L442" s="1513"/>
      <c r="M442" s="1512"/>
      <c r="N442" s="1512"/>
      <c r="O442" s="1512"/>
    </row>
    <row r="443" spans="1:15">
      <c r="A443" s="1512"/>
      <c r="B443" s="1513"/>
      <c r="K443" s="1513"/>
      <c r="L443" s="1513"/>
      <c r="M443" s="1512"/>
      <c r="N443" s="1512"/>
      <c r="O443" s="1512"/>
    </row>
    <row r="444" spans="1:15">
      <c r="A444" s="1512"/>
      <c r="B444" s="1513"/>
      <c r="K444" s="1513"/>
      <c r="L444" s="1513"/>
      <c r="M444" s="1512"/>
      <c r="N444" s="1512"/>
      <c r="O444" s="1512"/>
    </row>
    <row r="445" spans="1:15">
      <c r="A445" s="1512"/>
      <c r="B445" s="1513"/>
      <c r="K445" s="1513"/>
      <c r="L445" s="1513"/>
      <c r="M445" s="1512"/>
      <c r="N445" s="1512"/>
      <c r="O445" s="1512"/>
    </row>
    <row r="446" spans="1:15">
      <c r="A446" s="1512"/>
      <c r="B446" s="1513"/>
      <c r="K446" s="1513"/>
      <c r="L446" s="1513"/>
      <c r="M446" s="1512"/>
      <c r="N446" s="1512"/>
      <c r="O446" s="1512"/>
    </row>
    <row r="447" spans="1:15">
      <c r="A447" s="1512"/>
      <c r="B447" s="1513"/>
      <c r="K447" s="1513"/>
      <c r="L447" s="1513"/>
      <c r="M447" s="1512"/>
      <c r="N447" s="1512"/>
      <c r="O447" s="1512"/>
    </row>
    <row r="448" spans="1:15">
      <c r="A448" s="1512"/>
      <c r="B448" s="1513"/>
      <c r="K448" s="1513"/>
      <c r="L448" s="1513"/>
      <c r="M448" s="1512"/>
      <c r="N448" s="1512"/>
      <c r="O448" s="1512"/>
    </row>
    <row r="449" spans="1:15">
      <c r="A449" s="1512"/>
      <c r="B449" s="1513"/>
      <c r="K449" s="1513"/>
      <c r="L449" s="1513"/>
      <c r="M449" s="1512"/>
      <c r="N449" s="1512"/>
      <c r="O449" s="1512"/>
    </row>
    <row r="450" spans="1:15">
      <c r="A450" s="1512"/>
      <c r="B450" s="1513"/>
      <c r="K450" s="1513"/>
      <c r="L450" s="1513"/>
      <c r="M450" s="1512"/>
      <c r="N450" s="1512"/>
      <c r="O450" s="1512"/>
    </row>
    <row r="451" spans="1:15">
      <c r="A451" s="1512"/>
      <c r="B451" s="1513"/>
      <c r="K451" s="1513"/>
      <c r="L451" s="1513"/>
      <c r="M451" s="1512"/>
      <c r="N451" s="1512"/>
      <c r="O451" s="1512"/>
    </row>
    <row r="452" spans="1:15">
      <c r="A452" s="1512"/>
      <c r="B452" s="1513"/>
      <c r="K452" s="1513"/>
      <c r="L452" s="1513"/>
      <c r="M452" s="1512"/>
      <c r="N452" s="1512"/>
      <c r="O452" s="1512"/>
    </row>
    <row r="453" spans="1:15">
      <c r="A453" s="1512"/>
      <c r="B453" s="1513"/>
      <c r="K453" s="1513"/>
      <c r="L453" s="1513"/>
      <c r="M453" s="1512"/>
      <c r="N453" s="1512"/>
      <c r="O453" s="1512"/>
    </row>
    <row r="454" spans="1:15">
      <c r="A454" s="1512"/>
      <c r="B454" s="1513"/>
      <c r="K454" s="1513"/>
      <c r="L454" s="1513"/>
      <c r="M454" s="1512"/>
      <c r="N454" s="1512"/>
      <c r="O454" s="1512"/>
    </row>
    <row r="455" spans="1:15">
      <c r="A455" s="1512"/>
      <c r="B455" s="1513"/>
      <c r="K455" s="1513"/>
      <c r="L455" s="1513"/>
      <c r="M455" s="1512"/>
      <c r="N455" s="1512"/>
      <c r="O455" s="1512"/>
    </row>
    <row r="456" spans="1:15">
      <c r="A456" s="1512"/>
      <c r="B456" s="1513"/>
      <c r="K456" s="1513"/>
      <c r="L456" s="1513"/>
      <c r="M456" s="1512"/>
      <c r="N456" s="1512"/>
      <c r="O456" s="1512"/>
    </row>
    <row r="457" spans="1:15">
      <c r="A457" s="1512"/>
      <c r="B457" s="1513"/>
      <c r="K457" s="1513"/>
      <c r="L457" s="1513"/>
      <c r="M457" s="1512"/>
      <c r="N457" s="1512"/>
      <c r="O457" s="1512"/>
    </row>
    <row r="458" spans="1:15">
      <c r="A458" s="1512"/>
      <c r="B458" s="1513"/>
      <c r="K458" s="1513"/>
      <c r="L458" s="1513"/>
      <c r="M458" s="1512"/>
      <c r="N458" s="1512"/>
      <c r="O458" s="1512"/>
    </row>
    <row r="459" spans="1:15">
      <c r="A459" s="1512"/>
      <c r="B459" s="1513"/>
      <c r="K459" s="1513"/>
      <c r="L459" s="1513"/>
      <c r="M459" s="1512"/>
      <c r="N459" s="1512"/>
      <c r="O459" s="1512"/>
    </row>
    <row r="460" spans="1:15">
      <c r="A460" s="1512"/>
      <c r="B460" s="1513"/>
      <c r="K460" s="1513"/>
      <c r="L460" s="1513"/>
      <c r="M460" s="1512"/>
      <c r="N460" s="1512"/>
      <c r="O460" s="1512"/>
    </row>
    <row r="461" spans="1:15">
      <c r="A461" s="1512"/>
      <c r="B461" s="1513"/>
      <c r="K461" s="1513"/>
      <c r="L461" s="1513"/>
      <c r="M461" s="1512"/>
      <c r="N461" s="1512"/>
      <c r="O461" s="1512"/>
    </row>
    <row r="462" spans="1:15">
      <c r="A462" s="1512"/>
      <c r="B462" s="1513"/>
      <c r="K462" s="1513"/>
      <c r="L462" s="1513"/>
      <c r="M462" s="1512"/>
      <c r="N462" s="1512"/>
      <c r="O462" s="1512"/>
    </row>
    <row r="463" spans="1:15">
      <c r="A463" s="1512"/>
      <c r="B463" s="1513"/>
      <c r="K463" s="1513"/>
      <c r="L463" s="1513"/>
      <c r="M463" s="1512"/>
      <c r="N463" s="1512"/>
      <c r="O463" s="1512"/>
    </row>
    <row r="464" spans="1:15">
      <c r="A464" s="1512"/>
      <c r="B464" s="1513"/>
      <c r="K464" s="1513"/>
      <c r="L464" s="1513"/>
      <c r="M464" s="1512"/>
      <c r="N464" s="1512"/>
      <c r="O464" s="1512"/>
    </row>
    <row r="465" spans="1:15">
      <c r="A465" s="1512"/>
      <c r="B465" s="1513"/>
      <c r="K465" s="1513"/>
      <c r="L465" s="1513"/>
      <c r="M465" s="1512"/>
      <c r="N465" s="1512"/>
      <c r="O465" s="1512"/>
    </row>
    <row r="466" spans="1:15">
      <c r="A466" s="1512"/>
      <c r="B466" s="1513"/>
      <c r="K466" s="1513"/>
      <c r="L466" s="1513"/>
      <c r="M466" s="1512"/>
      <c r="N466" s="1512"/>
      <c r="O466" s="1512"/>
    </row>
    <row r="467" spans="1:15">
      <c r="A467" s="1512"/>
      <c r="B467" s="1513"/>
      <c r="K467" s="1513"/>
      <c r="L467" s="1513"/>
      <c r="M467" s="1512"/>
      <c r="N467" s="1512"/>
      <c r="O467" s="1512"/>
    </row>
    <row r="468" spans="1:15">
      <c r="A468" s="1512"/>
      <c r="B468" s="1513"/>
      <c r="K468" s="1513"/>
      <c r="L468" s="1513"/>
      <c r="M468" s="1512"/>
      <c r="N468" s="1512"/>
      <c r="O468" s="1512"/>
    </row>
    <row r="469" spans="1:15">
      <c r="A469" s="1512"/>
      <c r="B469" s="1513"/>
      <c r="K469" s="1513"/>
      <c r="L469" s="1513"/>
      <c r="M469" s="1512"/>
      <c r="N469" s="1512"/>
      <c r="O469" s="1512"/>
    </row>
    <row r="470" spans="1:15">
      <c r="A470" s="1512"/>
      <c r="B470" s="1513"/>
      <c r="K470" s="1513"/>
      <c r="L470" s="1513"/>
      <c r="M470" s="1512"/>
      <c r="N470" s="1512"/>
      <c r="O470" s="1512"/>
    </row>
    <row r="471" spans="1:15">
      <c r="A471" s="1512"/>
      <c r="B471" s="1513"/>
      <c r="K471" s="1513"/>
      <c r="L471" s="1513"/>
      <c r="M471" s="1512"/>
      <c r="N471" s="1512"/>
      <c r="O471" s="1512"/>
    </row>
    <row r="472" spans="1:15">
      <c r="A472" s="1512"/>
      <c r="B472" s="1513"/>
      <c r="K472" s="1513"/>
      <c r="L472" s="1513"/>
      <c r="M472" s="1512"/>
      <c r="N472" s="1512"/>
      <c r="O472" s="1512"/>
    </row>
    <row r="473" spans="1:15">
      <c r="A473" s="1512"/>
      <c r="B473" s="1513"/>
      <c r="K473" s="1513"/>
      <c r="L473" s="1513"/>
      <c r="M473" s="1512"/>
      <c r="N473" s="1512"/>
      <c r="O473" s="1512"/>
    </row>
    <row r="474" spans="1:15">
      <c r="A474" s="1512"/>
      <c r="B474" s="1513"/>
      <c r="K474" s="1513"/>
      <c r="L474" s="1513"/>
      <c r="M474" s="1512"/>
      <c r="N474" s="1512"/>
      <c r="O474" s="1512"/>
    </row>
    <row r="475" spans="1:15">
      <c r="A475" s="1512"/>
      <c r="B475" s="1513"/>
      <c r="K475" s="1513"/>
      <c r="L475" s="1513"/>
      <c r="M475" s="1512"/>
      <c r="N475" s="1512"/>
      <c r="O475" s="1512"/>
    </row>
    <row r="476" spans="1:15">
      <c r="A476" s="1512"/>
      <c r="B476" s="1513"/>
      <c r="K476" s="1513"/>
      <c r="L476" s="1513"/>
      <c r="M476" s="1512"/>
      <c r="N476" s="1512"/>
      <c r="O476" s="1512"/>
    </row>
    <row r="477" spans="1:15">
      <c r="A477" s="1512"/>
      <c r="B477" s="1513"/>
      <c r="K477" s="1513"/>
      <c r="L477" s="1513"/>
      <c r="M477" s="1512"/>
      <c r="N477" s="1512"/>
      <c r="O477" s="1512"/>
    </row>
    <row r="478" spans="1:15">
      <c r="A478" s="1512"/>
      <c r="B478" s="1513"/>
      <c r="K478" s="1513"/>
      <c r="L478" s="1513"/>
      <c r="M478" s="1512"/>
      <c r="N478" s="1512"/>
      <c r="O478" s="1512"/>
    </row>
    <row r="479" spans="1:15">
      <c r="A479" s="1512"/>
      <c r="B479" s="1513"/>
      <c r="K479" s="1513"/>
      <c r="L479" s="1513"/>
      <c r="M479" s="1512"/>
      <c r="N479" s="1512"/>
      <c r="O479" s="1512"/>
    </row>
    <row r="480" spans="1:15">
      <c r="A480" s="1512"/>
      <c r="B480" s="1513"/>
      <c r="K480" s="1513"/>
      <c r="L480" s="1513"/>
      <c r="M480" s="1512"/>
      <c r="N480" s="1512"/>
      <c r="O480" s="1512"/>
    </row>
    <row r="481" spans="1:15">
      <c r="A481" s="1512"/>
      <c r="B481" s="1513"/>
      <c r="K481" s="1513"/>
      <c r="L481" s="1513"/>
      <c r="M481" s="1512"/>
      <c r="N481" s="1512"/>
      <c r="O481" s="1512"/>
    </row>
    <row r="482" spans="1:15">
      <c r="A482" s="1512"/>
      <c r="B482" s="1513"/>
      <c r="K482" s="1513"/>
      <c r="L482" s="1513"/>
      <c r="M482" s="1512"/>
      <c r="N482" s="1512"/>
      <c r="O482" s="1512"/>
    </row>
    <row r="483" spans="1:15">
      <c r="A483" s="1512"/>
      <c r="B483" s="1513"/>
      <c r="K483" s="1513"/>
      <c r="L483" s="1513"/>
      <c r="M483" s="1512"/>
      <c r="N483" s="1512"/>
      <c r="O483" s="1512"/>
    </row>
    <row r="484" spans="1:15">
      <c r="A484" s="1512"/>
      <c r="B484" s="1513"/>
      <c r="K484" s="1513"/>
      <c r="L484" s="1513"/>
      <c r="M484" s="1512"/>
      <c r="N484" s="1512"/>
      <c r="O484" s="1512"/>
    </row>
    <row r="485" spans="1:15">
      <c r="A485" s="1512"/>
      <c r="B485" s="1513"/>
      <c r="K485" s="1513"/>
      <c r="L485" s="1513"/>
      <c r="M485" s="1512"/>
      <c r="N485" s="1512"/>
      <c r="O485" s="1512"/>
    </row>
    <row r="486" spans="1:15">
      <c r="A486" s="1512"/>
      <c r="B486" s="1513"/>
      <c r="K486" s="1513"/>
      <c r="L486" s="1513"/>
      <c r="M486" s="1512"/>
      <c r="N486" s="1512"/>
      <c r="O486" s="1512"/>
    </row>
    <row r="487" spans="1:15">
      <c r="A487" s="1512"/>
      <c r="B487" s="1513"/>
      <c r="K487" s="1513"/>
      <c r="L487" s="1513"/>
      <c r="M487" s="1512"/>
      <c r="N487" s="1512"/>
      <c r="O487" s="1512"/>
    </row>
    <row r="488" spans="1:15">
      <c r="A488" s="1512"/>
      <c r="B488" s="1513"/>
      <c r="K488" s="1513"/>
      <c r="L488" s="1513"/>
      <c r="M488" s="1512"/>
      <c r="N488" s="1512"/>
      <c r="O488" s="1512"/>
    </row>
    <row r="489" spans="1:15">
      <c r="A489" s="1512"/>
      <c r="B489" s="1513"/>
      <c r="K489" s="1513"/>
      <c r="L489" s="1513"/>
      <c r="M489" s="1512"/>
      <c r="N489" s="1512"/>
      <c r="O489" s="1512"/>
    </row>
    <row r="490" spans="1:15">
      <c r="A490" s="1512"/>
      <c r="B490" s="1513"/>
      <c r="K490" s="1513"/>
      <c r="L490" s="1513"/>
      <c r="M490" s="1512"/>
      <c r="N490" s="1512"/>
      <c r="O490" s="1512"/>
    </row>
    <row r="491" spans="1:15">
      <c r="A491" s="1512"/>
      <c r="B491" s="1513"/>
      <c r="K491" s="1513"/>
      <c r="L491" s="1513"/>
      <c r="M491" s="1512"/>
      <c r="N491" s="1512"/>
      <c r="O491" s="1512"/>
    </row>
    <row r="492" spans="1:15">
      <c r="A492" s="1512"/>
      <c r="B492" s="1513"/>
      <c r="K492" s="1513"/>
      <c r="L492" s="1513"/>
      <c r="M492" s="1512"/>
      <c r="N492" s="1512"/>
      <c r="O492" s="1512"/>
    </row>
    <row r="493" spans="1:15">
      <c r="A493" s="1512"/>
      <c r="B493" s="1513"/>
      <c r="K493" s="1513"/>
      <c r="L493" s="1513"/>
      <c r="M493" s="1512"/>
      <c r="N493" s="1512"/>
      <c r="O493" s="1512"/>
    </row>
    <row r="494" spans="1:15">
      <c r="A494" s="1512"/>
      <c r="B494" s="1513"/>
      <c r="K494" s="1513"/>
      <c r="L494" s="1513"/>
      <c r="M494" s="1512"/>
      <c r="N494" s="1512"/>
      <c r="O494" s="1512"/>
    </row>
    <row r="495" spans="1:15">
      <c r="A495" s="1512"/>
      <c r="B495" s="1513"/>
      <c r="K495" s="1513"/>
      <c r="L495" s="1513"/>
      <c r="M495" s="1512"/>
      <c r="N495" s="1512"/>
      <c r="O495" s="1512"/>
    </row>
    <row r="496" spans="1:15">
      <c r="A496" s="1512"/>
      <c r="B496" s="1513"/>
      <c r="K496" s="1513"/>
      <c r="L496" s="1513"/>
      <c r="M496" s="1512"/>
      <c r="N496" s="1512"/>
      <c r="O496" s="1512"/>
    </row>
    <row r="497" spans="1:15">
      <c r="A497" s="1512"/>
      <c r="B497" s="1513"/>
      <c r="K497" s="1513"/>
      <c r="L497" s="1513"/>
      <c r="M497" s="1512"/>
      <c r="N497" s="1512"/>
      <c r="O497" s="1512"/>
    </row>
    <row r="498" spans="1:15">
      <c r="A498" s="1512"/>
      <c r="B498" s="1513"/>
      <c r="K498" s="1513"/>
      <c r="L498" s="1513"/>
      <c r="M498" s="1512"/>
      <c r="N498" s="1512"/>
      <c r="O498" s="1512"/>
    </row>
    <row r="499" spans="1:15">
      <c r="A499" s="1512"/>
      <c r="B499" s="1513"/>
      <c r="K499" s="1513"/>
      <c r="L499" s="1513"/>
      <c r="M499" s="1512"/>
      <c r="N499" s="1512"/>
      <c r="O499" s="1512"/>
    </row>
    <row r="500" spans="1:15">
      <c r="A500" s="1512"/>
      <c r="B500" s="1513"/>
      <c r="K500" s="1513"/>
      <c r="L500" s="1513"/>
      <c r="M500" s="1512"/>
      <c r="N500" s="1512"/>
      <c r="O500" s="1512"/>
    </row>
    <row r="501" spans="1:15">
      <c r="A501" s="1512"/>
      <c r="B501" s="1513"/>
      <c r="K501" s="1513"/>
      <c r="L501" s="1513"/>
      <c r="M501" s="1512"/>
      <c r="N501" s="1512"/>
      <c r="O501" s="1512"/>
    </row>
    <row r="502" spans="1:15">
      <c r="A502" s="1512"/>
      <c r="B502" s="1513"/>
      <c r="K502" s="1513"/>
      <c r="L502" s="1513"/>
      <c r="M502" s="1512"/>
      <c r="N502" s="1512"/>
      <c r="O502" s="1512"/>
    </row>
    <row r="503" spans="1:15">
      <c r="A503" s="1512"/>
      <c r="B503" s="1513"/>
      <c r="K503" s="1513"/>
      <c r="L503" s="1513"/>
      <c r="M503" s="1512"/>
      <c r="N503" s="1512"/>
      <c r="O503" s="1512"/>
    </row>
    <row r="504" spans="1:15">
      <c r="A504" s="1512"/>
      <c r="B504" s="1513"/>
      <c r="K504" s="1513"/>
      <c r="L504" s="1513"/>
      <c r="M504" s="1512"/>
      <c r="N504" s="1512"/>
      <c r="O504" s="1512"/>
    </row>
    <row r="505" spans="1:15">
      <c r="A505" s="1512"/>
      <c r="B505" s="1513"/>
      <c r="K505" s="1513"/>
      <c r="L505" s="1513"/>
      <c r="M505" s="1512"/>
      <c r="N505" s="1512"/>
      <c r="O505" s="1512"/>
    </row>
    <row r="506" spans="1:15">
      <c r="A506" s="1512"/>
      <c r="B506" s="1513"/>
      <c r="K506" s="1513"/>
      <c r="L506" s="1513"/>
      <c r="M506" s="1512"/>
      <c r="N506" s="1512"/>
      <c r="O506" s="1512"/>
    </row>
    <row r="507" spans="1:15">
      <c r="A507" s="1512"/>
      <c r="B507" s="1513"/>
      <c r="K507" s="1513"/>
      <c r="L507" s="1513"/>
      <c r="M507" s="1512"/>
      <c r="N507" s="1512"/>
      <c r="O507" s="1512"/>
    </row>
    <row r="508" spans="1:15">
      <c r="A508" s="1512"/>
      <c r="B508" s="1513"/>
      <c r="K508" s="1513"/>
      <c r="L508" s="1513"/>
      <c r="M508" s="1512"/>
      <c r="N508" s="1512"/>
      <c r="O508" s="1512"/>
    </row>
    <row r="509" spans="1:15">
      <c r="A509" s="1512"/>
      <c r="B509" s="1513"/>
      <c r="K509" s="1513"/>
      <c r="L509" s="1513"/>
      <c r="M509" s="1512"/>
      <c r="N509" s="1512"/>
      <c r="O509" s="1512"/>
    </row>
    <row r="510" spans="1:15">
      <c r="A510" s="1512"/>
      <c r="B510" s="1513"/>
      <c r="K510" s="1513"/>
      <c r="L510" s="1513"/>
      <c r="M510" s="1512"/>
      <c r="N510" s="1512"/>
      <c r="O510" s="1512"/>
    </row>
    <row r="511" spans="1:15">
      <c r="A511" s="1512"/>
      <c r="B511" s="1513"/>
      <c r="K511" s="1513"/>
      <c r="L511" s="1513"/>
      <c r="M511" s="1512"/>
      <c r="N511" s="1512"/>
      <c r="O511" s="1512"/>
    </row>
    <row r="512" spans="1:15">
      <c r="A512" s="1512"/>
      <c r="B512" s="1513"/>
      <c r="K512" s="1513"/>
      <c r="L512" s="1513"/>
      <c r="M512" s="1512"/>
      <c r="N512" s="1512"/>
      <c r="O512" s="1512"/>
    </row>
    <row r="513" spans="1:15">
      <c r="A513" s="1512"/>
      <c r="B513" s="1513"/>
      <c r="K513" s="1513"/>
      <c r="L513" s="1513"/>
      <c r="M513" s="1512"/>
      <c r="N513" s="1512"/>
      <c r="O513" s="1512"/>
    </row>
    <row r="514" spans="1:15">
      <c r="A514" s="1512"/>
      <c r="B514" s="1513"/>
      <c r="K514" s="1513"/>
      <c r="L514" s="1513"/>
      <c r="M514" s="1512"/>
      <c r="N514" s="1512"/>
      <c r="O514" s="1512"/>
    </row>
    <row r="515" spans="1:15">
      <c r="A515" s="1512"/>
      <c r="B515" s="1513"/>
      <c r="K515" s="1513"/>
      <c r="L515" s="1513"/>
      <c r="M515" s="1512"/>
      <c r="N515" s="1512"/>
      <c r="O515" s="1512"/>
    </row>
    <row r="516" spans="1:15">
      <c r="A516" s="1512"/>
      <c r="B516" s="1513"/>
      <c r="K516" s="1513"/>
      <c r="L516" s="1513"/>
      <c r="M516" s="1512"/>
      <c r="N516" s="1512"/>
      <c r="O516" s="1512"/>
    </row>
    <row r="517" spans="1:15">
      <c r="A517" s="1512"/>
      <c r="B517" s="1513"/>
      <c r="K517" s="1513"/>
      <c r="L517" s="1513"/>
      <c r="M517" s="1512"/>
      <c r="N517" s="1512"/>
      <c r="O517" s="1512"/>
    </row>
    <row r="518" spans="1:15">
      <c r="A518" s="1512"/>
      <c r="B518" s="1513"/>
      <c r="K518" s="1513"/>
      <c r="L518" s="1513"/>
      <c r="M518" s="1512"/>
      <c r="N518" s="1512"/>
      <c r="O518" s="1512"/>
    </row>
    <row r="519" spans="1:15">
      <c r="A519" s="1512"/>
      <c r="B519" s="1513"/>
      <c r="K519" s="1513"/>
      <c r="L519" s="1513"/>
      <c r="M519" s="1512"/>
      <c r="N519" s="1512"/>
      <c r="O519" s="1512"/>
    </row>
    <row r="520" spans="1:15">
      <c r="A520" s="1512"/>
      <c r="B520" s="1513"/>
      <c r="K520" s="1513"/>
      <c r="L520" s="1513"/>
      <c r="M520" s="1512"/>
      <c r="N520" s="1512"/>
      <c r="O520" s="1512"/>
    </row>
    <row r="521" spans="1:15">
      <c r="A521" s="1512"/>
      <c r="B521" s="1513"/>
      <c r="K521" s="1513"/>
      <c r="L521" s="1513"/>
      <c r="M521" s="1512"/>
      <c r="N521" s="1512"/>
      <c r="O521" s="1512"/>
    </row>
    <row r="522" spans="1:15">
      <c r="A522" s="1512"/>
      <c r="B522" s="1513"/>
      <c r="K522" s="1513"/>
      <c r="L522" s="1513"/>
      <c r="M522" s="1512"/>
      <c r="N522" s="1512"/>
      <c r="O522" s="1512"/>
    </row>
    <row r="523" spans="1:15">
      <c r="A523" s="1512"/>
      <c r="B523" s="1513"/>
      <c r="K523" s="1513"/>
      <c r="L523" s="1513"/>
      <c r="M523" s="1512"/>
      <c r="N523" s="1512"/>
      <c r="O523" s="1512"/>
    </row>
    <row r="524" spans="1:15">
      <c r="A524" s="1512"/>
      <c r="B524" s="1513"/>
      <c r="K524" s="1513"/>
      <c r="L524" s="1513"/>
      <c r="M524" s="1512"/>
      <c r="N524" s="1512"/>
      <c r="O524" s="1512"/>
    </row>
    <row r="525" spans="1:15">
      <c r="A525" s="1512"/>
      <c r="B525" s="1513"/>
      <c r="K525" s="1513"/>
      <c r="L525" s="1513"/>
      <c r="M525" s="1512"/>
      <c r="N525" s="1512"/>
      <c r="O525" s="1512"/>
    </row>
    <row r="526" spans="1:15">
      <c r="A526" s="1512"/>
      <c r="B526" s="1513"/>
      <c r="K526" s="1513"/>
      <c r="L526" s="1513"/>
      <c r="M526" s="1512"/>
      <c r="N526" s="1512"/>
      <c r="O526" s="1512"/>
    </row>
    <row r="527" spans="1:15">
      <c r="A527" s="1512"/>
      <c r="B527" s="1513"/>
      <c r="K527" s="1513"/>
      <c r="L527" s="1513"/>
      <c r="M527" s="1512"/>
      <c r="N527" s="1512"/>
      <c r="O527" s="1512"/>
    </row>
    <row r="528" spans="1:15">
      <c r="A528" s="1512"/>
      <c r="B528" s="1513"/>
      <c r="K528" s="1513"/>
      <c r="L528" s="1513"/>
      <c r="M528" s="1512"/>
      <c r="N528" s="1512"/>
      <c r="O528" s="1512"/>
    </row>
    <row r="529" spans="1:15">
      <c r="A529" s="1512"/>
      <c r="B529" s="1513"/>
      <c r="K529" s="1513"/>
      <c r="L529" s="1513"/>
      <c r="M529" s="1512"/>
      <c r="N529" s="1512"/>
      <c r="O529" s="1512"/>
    </row>
    <row r="530" spans="1:15">
      <c r="A530" s="1512"/>
      <c r="B530" s="1513"/>
      <c r="K530" s="1513"/>
      <c r="L530" s="1513"/>
      <c r="M530" s="1512"/>
      <c r="N530" s="1512"/>
      <c r="O530" s="1512"/>
    </row>
    <row r="531" spans="1:15">
      <c r="A531" s="1512"/>
      <c r="B531" s="1513"/>
      <c r="K531" s="1513"/>
      <c r="L531" s="1513"/>
      <c r="M531" s="1512"/>
      <c r="N531" s="1512"/>
      <c r="O531" s="1512"/>
    </row>
    <row r="532" spans="1:15">
      <c r="A532" s="1512"/>
      <c r="B532" s="1513"/>
      <c r="K532" s="1513"/>
      <c r="L532" s="1513"/>
      <c r="M532" s="1512"/>
      <c r="N532" s="1512"/>
      <c r="O532" s="1512"/>
    </row>
    <row r="533" spans="1:15">
      <c r="A533" s="1512"/>
      <c r="B533" s="1513"/>
      <c r="K533" s="1513"/>
      <c r="L533" s="1513"/>
      <c r="M533" s="1512"/>
      <c r="N533" s="1512"/>
      <c r="O533" s="1512"/>
    </row>
    <row r="534" spans="1:15">
      <c r="A534" s="1512"/>
      <c r="B534" s="1513"/>
      <c r="K534" s="1513"/>
      <c r="L534" s="1513"/>
      <c r="M534" s="1512"/>
      <c r="N534" s="1512"/>
      <c r="O534" s="1512"/>
    </row>
    <row r="535" spans="1:15">
      <c r="A535" s="1512"/>
      <c r="B535" s="1513"/>
      <c r="K535" s="1513"/>
      <c r="L535" s="1513"/>
      <c r="M535" s="1512"/>
      <c r="N535" s="1512"/>
      <c r="O535" s="1512"/>
    </row>
    <row r="536" spans="1:15">
      <c r="A536" s="1512"/>
      <c r="B536" s="1513"/>
      <c r="K536" s="1513"/>
      <c r="L536" s="1513"/>
      <c r="M536" s="1512"/>
      <c r="N536" s="1512"/>
      <c r="O536" s="1512"/>
    </row>
    <row r="537" spans="1:15">
      <c r="A537" s="1512"/>
      <c r="B537" s="1513"/>
      <c r="K537" s="1513"/>
      <c r="L537" s="1513"/>
      <c r="M537" s="1512"/>
      <c r="N537" s="1512"/>
      <c r="O537" s="1512"/>
    </row>
    <row r="538" spans="1:15">
      <c r="A538" s="1512"/>
      <c r="B538" s="1513"/>
      <c r="K538" s="1513"/>
      <c r="L538" s="1513"/>
      <c r="M538" s="1512"/>
      <c r="N538" s="1512"/>
      <c r="O538" s="1512"/>
    </row>
    <row r="539" spans="1:15">
      <c r="A539" s="1512"/>
      <c r="B539" s="1513"/>
      <c r="K539" s="1513"/>
      <c r="L539" s="1513"/>
      <c r="M539" s="1512"/>
      <c r="N539" s="1512"/>
      <c r="O539" s="1512"/>
    </row>
    <row r="540" spans="1:15">
      <c r="A540" s="1512"/>
      <c r="B540" s="1513"/>
      <c r="K540" s="1513"/>
      <c r="L540" s="1513"/>
      <c r="M540" s="1512"/>
      <c r="N540" s="1512"/>
      <c r="O540" s="1512"/>
    </row>
    <row r="541" spans="1:15">
      <c r="A541" s="1512"/>
      <c r="B541" s="1513"/>
      <c r="K541" s="1513"/>
      <c r="L541" s="1513"/>
      <c r="M541" s="1512"/>
      <c r="N541" s="1512"/>
      <c r="O541" s="1512"/>
    </row>
    <row r="542" spans="1:15">
      <c r="A542" s="1512"/>
      <c r="B542" s="1513"/>
      <c r="K542" s="1513"/>
      <c r="L542" s="1513"/>
      <c r="M542" s="1512"/>
      <c r="N542" s="1512"/>
      <c r="O542" s="1512"/>
    </row>
    <row r="543" spans="1:15">
      <c r="A543" s="1512"/>
      <c r="B543" s="1513"/>
      <c r="K543" s="1513"/>
      <c r="L543" s="1513"/>
      <c r="M543" s="1512"/>
      <c r="N543" s="1512"/>
      <c r="O543" s="1512"/>
    </row>
    <row r="544" spans="1:15">
      <c r="A544" s="1512"/>
      <c r="B544" s="1513"/>
      <c r="K544" s="1513"/>
      <c r="L544" s="1513"/>
      <c r="M544" s="1512"/>
      <c r="N544" s="1512"/>
      <c r="O544" s="1512"/>
    </row>
    <row r="545" spans="1:15">
      <c r="A545" s="1512"/>
      <c r="B545" s="1513"/>
      <c r="K545" s="1513"/>
      <c r="L545" s="1513"/>
      <c r="M545" s="1512"/>
      <c r="N545" s="1512"/>
      <c r="O545" s="1512"/>
    </row>
    <row r="546" spans="1:15">
      <c r="A546" s="1512"/>
      <c r="B546" s="1513"/>
      <c r="K546" s="1513"/>
      <c r="L546" s="1513"/>
      <c r="M546" s="1512"/>
      <c r="N546" s="1512"/>
      <c r="O546" s="1512"/>
    </row>
    <row r="547" spans="1:15">
      <c r="A547" s="1512"/>
      <c r="B547" s="1513"/>
      <c r="K547" s="1513"/>
      <c r="L547" s="1513"/>
      <c r="M547" s="1512"/>
      <c r="N547" s="1512"/>
      <c r="O547" s="1512"/>
    </row>
    <row r="548" spans="1:15">
      <c r="A548" s="1512"/>
      <c r="B548" s="1513"/>
      <c r="K548" s="1513"/>
      <c r="L548" s="1513"/>
      <c r="M548" s="1512"/>
      <c r="N548" s="1512"/>
      <c r="O548" s="1512"/>
    </row>
    <row r="549" spans="1:15">
      <c r="A549" s="1512"/>
      <c r="B549" s="1513"/>
      <c r="K549" s="1513"/>
      <c r="L549" s="1513"/>
      <c r="M549" s="1512"/>
      <c r="N549" s="1512"/>
      <c r="O549" s="1512"/>
    </row>
    <row r="550" spans="1:15">
      <c r="A550" s="1512"/>
      <c r="B550" s="1513"/>
      <c r="K550" s="1513"/>
      <c r="L550" s="1513"/>
      <c r="M550" s="1512"/>
      <c r="N550" s="1512"/>
      <c r="O550" s="1512"/>
    </row>
    <row r="551" spans="1:15">
      <c r="A551" s="1512"/>
      <c r="B551" s="1513"/>
      <c r="K551" s="1513"/>
      <c r="L551" s="1513"/>
      <c r="M551" s="1512"/>
      <c r="N551" s="1512"/>
      <c r="O551" s="1512"/>
    </row>
    <row r="552" spans="1:15">
      <c r="A552" s="1512"/>
      <c r="B552" s="1513"/>
      <c r="K552" s="1513"/>
      <c r="L552" s="1513"/>
      <c r="M552" s="1512"/>
      <c r="N552" s="1512"/>
      <c r="O552" s="1512"/>
    </row>
    <row r="553" spans="1:15">
      <c r="A553" s="1512"/>
      <c r="B553" s="1513"/>
      <c r="K553" s="1513"/>
      <c r="L553" s="1513"/>
      <c r="M553" s="1512"/>
      <c r="N553" s="1512"/>
      <c r="O553" s="1512"/>
    </row>
    <row r="554" spans="1:15">
      <c r="A554" s="1512"/>
      <c r="B554" s="1513"/>
      <c r="K554" s="1513"/>
      <c r="L554" s="1513"/>
      <c r="M554" s="1512"/>
      <c r="N554" s="1512"/>
      <c r="O554" s="1512"/>
    </row>
    <row r="555" spans="1:15">
      <c r="A555" s="1512"/>
      <c r="B555" s="1513"/>
      <c r="K555" s="1513"/>
      <c r="L555" s="1513"/>
      <c r="M555" s="1512"/>
      <c r="N555" s="1512"/>
      <c r="O555" s="1512"/>
    </row>
    <row r="556" spans="1:15">
      <c r="A556" s="1512"/>
      <c r="B556" s="1513"/>
      <c r="K556" s="1513"/>
      <c r="L556" s="1513"/>
      <c r="M556" s="1512"/>
      <c r="N556" s="1512"/>
      <c r="O556" s="1512"/>
    </row>
    <row r="557" spans="1:15">
      <c r="A557" s="1512"/>
      <c r="B557" s="1513"/>
      <c r="K557" s="1513"/>
      <c r="L557" s="1513"/>
      <c r="M557" s="1512"/>
      <c r="N557" s="1512"/>
      <c r="O557" s="1512"/>
    </row>
    <row r="558" spans="1:15">
      <c r="A558" s="1512"/>
      <c r="B558" s="1513"/>
      <c r="K558" s="1513"/>
      <c r="L558" s="1513"/>
      <c r="M558" s="1512"/>
      <c r="N558" s="1512"/>
      <c r="O558" s="1512"/>
    </row>
    <row r="559" spans="1:15">
      <c r="A559" s="1512"/>
      <c r="B559" s="1513"/>
      <c r="K559" s="1513"/>
      <c r="L559" s="1513"/>
      <c r="M559" s="1512"/>
      <c r="N559" s="1512"/>
      <c r="O559" s="1512"/>
    </row>
    <row r="560" spans="1:15">
      <c r="A560" s="1512"/>
      <c r="B560" s="1513"/>
      <c r="K560" s="1513"/>
      <c r="L560" s="1513"/>
      <c r="M560" s="1512"/>
      <c r="N560" s="1512"/>
      <c r="O560" s="1512"/>
    </row>
    <row r="561" spans="1:15">
      <c r="A561" s="1512"/>
      <c r="B561" s="1513"/>
      <c r="K561" s="1513"/>
      <c r="L561" s="1513"/>
      <c r="M561" s="1512"/>
      <c r="N561" s="1512"/>
      <c r="O561" s="1512"/>
    </row>
    <row r="562" spans="1:15">
      <c r="A562" s="1512"/>
      <c r="B562" s="1513"/>
      <c r="K562" s="1513"/>
      <c r="L562" s="1513"/>
      <c r="M562" s="1512"/>
      <c r="N562" s="1512"/>
      <c r="O562" s="1512"/>
    </row>
    <row r="563" spans="1:15">
      <c r="A563" s="1512"/>
      <c r="B563" s="1513"/>
      <c r="K563" s="1513"/>
      <c r="L563" s="1513"/>
      <c r="M563" s="1512"/>
      <c r="N563" s="1512"/>
      <c r="O563" s="1512"/>
    </row>
    <row r="564" spans="1:15">
      <c r="A564" s="1512"/>
      <c r="B564" s="1513"/>
      <c r="K564" s="1513"/>
      <c r="L564" s="1513"/>
      <c r="M564" s="1512"/>
      <c r="N564" s="1512"/>
      <c r="O564" s="1512"/>
    </row>
    <row r="565" spans="1:15">
      <c r="A565" s="1512"/>
      <c r="B565" s="1513"/>
      <c r="K565" s="1513"/>
      <c r="L565" s="1513"/>
      <c r="M565" s="1512"/>
      <c r="N565" s="1512"/>
      <c r="O565" s="1512"/>
    </row>
    <row r="566" spans="1:15">
      <c r="A566" s="1512"/>
      <c r="B566" s="1513"/>
      <c r="K566" s="1513"/>
      <c r="L566" s="1513"/>
      <c r="M566" s="1512"/>
      <c r="N566" s="1512"/>
      <c r="O566" s="1512"/>
    </row>
    <row r="567" spans="1:15">
      <c r="A567" s="1512"/>
      <c r="B567" s="1513"/>
      <c r="K567" s="1513"/>
      <c r="L567" s="1513"/>
      <c r="M567" s="1512"/>
      <c r="N567" s="1512"/>
      <c r="O567" s="1512"/>
    </row>
    <row r="568" spans="1:15">
      <c r="A568" s="1512"/>
      <c r="B568" s="1513"/>
      <c r="K568" s="1513"/>
      <c r="L568" s="1513"/>
      <c r="M568" s="1512"/>
      <c r="N568" s="1512"/>
      <c r="O568" s="1512"/>
    </row>
    <row r="569" spans="1:15">
      <c r="A569" s="1512"/>
      <c r="B569" s="1513"/>
      <c r="K569" s="1513"/>
      <c r="L569" s="1513"/>
      <c r="M569" s="1512"/>
      <c r="N569" s="1512"/>
      <c r="O569" s="1512"/>
    </row>
    <row r="570" spans="1:15">
      <c r="A570" s="1512"/>
      <c r="B570" s="1513"/>
      <c r="K570" s="1513"/>
      <c r="L570" s="1513"/>
      <c r="M570" s="1512"/>
      <c r="N570" s="1512"/>
      <c r="O570" s="1512"/>
    </row>
    <row r="571" spans="1:15">
      <c r="A571" s="1512"/>
      <c r="B571" s="1513"/>
      <c r="K571" s="1513"/>
      <c r="L571" s="1513"/>
      <c r="M571" s="1512"/>
      <c r="N571" s="1512"/>
      <c r="O571" s="1512"/>
    </row>
    <row r="572" spans="1:15">
      <c r="A572" s="1512"/>
      <c r="B572" s="1513"/>
      <c r="K572" s="1513"/>
      <c r="L572" s="1513"/>
      <c r="M572" s="1512"/>
      <c r="N572" s="1512"/>
      <c r="O572" s="1512"/>
    </row>
    <row r="573" spans="1:15">
      <c r="A573" s="1512"/>
      <c r="B573" s="1513"/>
      <c r="K573" s="1513"/>
      <c r="L573" s="1513"/>
      <c r="M573" s="1512"/>
      <c r="N573" s="1512"/>
      <c r="O573" s="1512"/>
    </row>
    <row r="574" spans="1:15">
      <c r="A574" s="1512"/>
      <c r="B574" s="1513"/>
      <c r="K574" s="1513"/>
      <c r="L574" s="1513"/>
      <c r="M574" s="1512"/>
      <c r="N574" s="1512"/>
      <c r="O574" s="1512"/>
    </row>
    <row r="575" spans="1:15">
      <c r="A575" s="1512"/>
      <c r="B575" s="1513"/>
      <c r="K575" s="1513"/>
      <c r="L575" s="1513"/>
      <c r="M575" s="1512"/>
      <c r="N575" s="1512"/>
      <c r="O575" s="1512"/>
    </row>
    <row r="576" spans="1:15">
      <c r="A576" s="1512"/>
      <c r="B576" s="1513"/>
      <c r="K576" s="1513"/>
      <c r="L576" s="1513"/>
      <c r="M576" s="1512"/>
      <c r="N576" s="1512"/>
      <c r="O576" s="1512"/>
    </row>
    <row r="577" spans="1:15">
      <c r="A577" s="1512"/>
      <c r="B577" s="1513"/>
      <c r="K577" s="1513"/>
      <c r="L577" s="1513"/>
      <c r="M577" s="1512"/>
      <c r="N577" s="1512"/>
      <c r="O577" s="1512"/>
    </row>
    <row r="578" spans="1:15">
      <c r="A578" s="1512"/>
      <c r="B578" s="1513"/>
      <c r="K578" s="1513"/>
      <c r="L578" s="1513"/>
      <c r="M578" s="1512"/>
      <c r="N578" s="1512"/>
      <c r="O578" s="1512"/>
    </row>
    <row r="579" spans="1:15">
      <c r="A579" s="1512"/>
      <c r="B579" s="1513"/>
      <c r="K579" s="1513"/>
      <c r="L579" s="1513"/>
      <c r="M579" s="1512"/>
      <c r="N579" s="1512"/>
      <c r="O579" s="1512"/>
    </row>
    <row r="580" spans="1:15">
      <c r="A580" s="1512"/>
      <c r="B580" s="1513"/>
      <c r="K580" s="1513"/>
      <c r="L580" s="1513"/>
      <c r="M580" s="1512"/>
      <c r="N580" s="1512"/>
      <c r="O580" s="1512"/>
    </row>
    <row r="581" spans="1:15">
      <c r="A581" s="1512"/>
      <c r="B581" s="1513"/>
      <c r="K581" s="1513"/>
      <c r="L581" s="1513"/>
      <c r="M581" s="1512"/>
      <c r="N581" s="1512"/>
      <c r="O581" s="1512"/>
    </row>
    <row r="582" spans="1:15">
      <c r="A582" s="1512"/>
      <c r="B582" s="1513"/>
      <c r="K582" s="1513"/>
      <c r="L582" s="1513"/>
      <c r="M582" s="1512"/>
      <c r="N582" s="1512"/>
      <c r="O582" s="1512"/>
    </row>
    <row r="583" spans="1:15">
      <c r="A583" s="1512"/>
      <c r="B583" s="1513"/>
      <c r="K583" s="1513"/>
      <c r="L583" s="1513"/>
      <c r="M583" s="1512"/>
      <c r="N583" s="1512"/>
      <c r="O583" s="1512"/>
    </row>
    <row r="584" spans="1:15">
      <c r="A584" s="1512"/>
      <c r="B584" s="1513"/>
      <c r="K584" s="1513"/>
      <c r="L584" s="1513"/>
      <c r="M584" s="1512"/>
      <c r="N584" s="1512"/>
      <c r="O584" s="1512"/>
    </row>
    <row r="585" spans="1:15">
      <c r="A585" s="1512"/>
      <c r="B585" s="1513"/>
      <c r="K585" s="1513"/>
      <c r="L585" s="1513"/>
      <c r="M585" s="1512"/>
      <c r="N585" s="1512"/>
      <c r="O585" s="1512"/>
    </row>
    <row r="586" spans="1:15">
      <c r="A586" s="1512"/>
      <c r="B586" s="1513"/>
      <c r="K586" s="1513"/>
      <c r="L586" s="1513"/>
      <c r="M586" s="1512"/>
      <c r="N586" s="1512"/>
      <c r="O586" s="1512"/>
    </row>
    <row r="587" spans="1:15">
      <c r="A587" s="1512"/>
      <c r="B587" s="1513"/>
      <c r="K587" s="1513"/>
      <c r="L587" s="1513"/>
      <c r="M587" s="1512"/>
      <c r="N587" s="1512"/>
      <c r="O587" s="1512"/>
    </row>
    <row r="588" spans="1:15">
      <c r="A588" s="1512"/>
      <c r="B588" s="1513"/>
      <c r="K588" s="1513"/>
      <c r="L588" s="1513"/>
      <c r="M588" s="1512"/>
      <c r="N588" s="1512"/>
      <c r="O588" s="1512"/>
    </row>
    <row r="589" spans="1:15">
      <c r="A589" s="1512"/>
      <c r="B589" s="1513"/>
      <c r="K589" s="1513"/>
      <c r="L589" s="1513"/>
      <c r="M589" s="1512"/>
      <c r="N589" s="1512"/>
      <c r="O589" s="1512"/>
    </row>
    <row r="590" spans="1:15">
      <c r="A590" s="1512"/>
      <c r="B590" s="1513"/>
      <c r="K590" s="1513"/>
      <c r="L590" s="1513"/>
      <c r="M590" s="1512"/>
      <c r="N590" s="1512"/>
      <c r="O590" s="1512"/>
    </row>
    <row r="591" spans="1:15">
      <c r="A591" s="1512"/>
      <c r="B591" s="1513"/>
      <c r="K591" s="1513"/>
      <c r="L591" s="1513"/>
      <c r="M591" s="1512"/>
      <c r="N591" s="1512"/>
      <c r="O591" s="1512"/>
    </row>
    <row r="592" spans="1:15">
      <c r="A592" s="1512"/>
      <c r="B592" s="1513"/>
      <c r="K592" s="1513"/>
      <c r="L592" s="1513"/>
      <c r="M592" s="1512"/>
      <c r="N592" s="1512"/>
      <c r="O592" s="1512"/>
    </row>
    <row r="593" spans="1:15">
      <c r="A593" s="1512"/>
      <c r="B593" s="1513"/>
      <c r="K593" s="1513"/>
      <c r="L593" s="1513"/>
      <c r="M593" s="1512"/>
      <c r="N593" s="1512"/>
      <c r="O593" s="1512"/>
    </row>
    <row r="594" spans="1:15">
      <c r="A594" s="1512"/>
      <c r="B594" s="1513"/>
      <c r="K594" s="1513"/>
      <c r="L594" s="1513"/>
      <c r="M594" s="1512"/>
      <c r="N594" s="1512"/>
      <c r="O594" s="1512"/>
    </row>
    <row r="595" spans="1:15">
      <c r="A595" s="1512"/>
      <c r="B595" s="1513"/>
      <c r="K595" s="1513"/>
      <c r="L595" s="1513"/>
      <c r="M595" s="1512"/>
      <c r="N595" s="1512"/>
      <c r="O595" s="1512"/>
    </row>
    <row r="596" spans="1:15">
      <c r="A596" s="1512"/>
      <c r="B596" s="1513"/>
      <c r="K596" s="1513"/>
      <c r="L596" s="1513"/>
      <c r="M596" s="1512"/>
      <c r="N596" s="1512"/>
      <c r="O596" s="1512"/>
    </row>
    <row r="597" spans="1:15">
      <c r="A597" s="1512"/>
      <c r="B597" s="1513"/>
      <c r="K597" s="1513"/>
      <c r="L597" s="1513"/>
      <c r="M597" s="1512"/>
      <c r="N597" s="1512"/>
      <c r="O597" s="1512"/>
    </row>
    <row r="598" spans="1:15">
      <c r="A598" s="1512"/>
      <c r="B598" s="1513"/>
      <c r="K598" s="1513"/>
      <c r="L598" s="1513"/>
      <c r="M598" s="1512"/>
      <c r="N598" s="1512"/>
      <c r="O598" s="1512"/>
    </row>
    <row r="599" spans="1:15">
      <c r="A599" s="1512"/>
      <c r="B599" s="1513"/>
      <c r="K599" s="1513"/>
      <c r="L599" s="1513"/>
      <c r="M599" s="1512"/>
      <c r="N599" s="1512"/>
      <c r="O599" s="1512"/>
    </row>
    <row r="600" spans="1:15">
      <c r="A600" s="1512"/>
      <c r="B600" s="1513"/>
      <c r="K600" s="1513"/>
      <c r="L600" s="1513"/>
      <c r="M600" s="1512"/>
      <c r="N600" s="1512"/>
      <c r="O600" s="1512"/>
    </row>
    <row r="601" spans="1:15">
      <c r="A601" s="1512"/>
      <c r="B601" s="1513"/>
      <c r="K601" s="1513"/>
      <c r="L601" s="1513"/>
      <c r="M601" s="1512"/>
      <c r="N601" s="1512"/>
      <c r="O601" s="1512"/>
    </row>
    <row r="602" spans="1:15">
      <c r="A602" s="1512"/>
      <c r="B602" s="1513"/>
      <c r="K602" s="1513"/>
      <c r="L602" s="1513"/>
      <c r="M602" s="1512"/>
      <c r="N602" s="1512"/>
      <c r="O602" s="1512"/>
    </row>
    <row r="603" spans="1:15">
      <c r="A603" s="1512"/>
      <c r="B603" s="1513"/>
      <c r="K603" s="1513"/>
      <c r="L603" s="1513"/>
      <c r="M603" s="1512"/>
      <c r="N603" s="1512"/>
      <c r="O603" s="1512"/>
    </row>
    <row r="604" spans="1:15">
      <c r="A604" s="1512"/>
      <c r="B604" s="1513"/>
      <c r="K604" s="1513"/>
      <c r="L604" s="1513"/>
      <c r="M604" s="1512"/>
      <c r="N604" s="1512"/>
      <c r="O604" s="1512"/>
    </row>
    <row r="605" spans="1:15">
      <c r="A605" s="1512"/>
      <c r="B605" s="1513"/>
      <c r="K605" s="1513"/>
      <c r="L605" s="1513"/>
      <c r="M605" s="1512"/>
      <c r="N605" s="1512"/>
      <c r="O605" s="1512"/>
    </row>
    <row r="606" spans="1:15">
      <c r="A606" s="1512"/>
      <c r="B606" s="1513"/>
      <c r="K606" s="1513"/>
      <c r="L606" s="1513"/>
      <c r="M606" s="1512"/>
      <c r="N606" s="1512"/>
      <c r="O606" s="1512"/>
    </row>
    <row r="607" spans="1:15">
      <c r="A607" s="1512"/>
      <c r="B607" s="1513"/>
      <c r="K607" s="1513"/>
      <c r="L607" s="1513"/>
      <c r="M607" s="1512"/>
      <c r="N607" s="1512"/>
      <c r="O607" s="1512"/>
    </row>
    <row r="608" spans="1:15">
      <c r="A608" s="1512"/>
      <c r="B608" s="1513"/>
      <c r="K608" s="1513"/>
      <c r="L608" s="1513"/>
      <c r="M608" s="1512"/>
      <c r="N608" s="1512"/>
      <c r="O608" s="1512"/>
    </row>
    <row r="609" spans="1:15">
      <c r="A609" s="1512"/>
      <c r="B609" s="1513"/>
      <c r="K609" s="1513"/>
      <c r="L609" s="1513"/>
      <c r="M609" s="1512"/>
      <c r="N609" s="1512"/>
      <c r="O609" s="1512"/>
    </row>
    <row r="610" spans="1:15">
      <c r="A610" s="1512"/>
      <c r="B610" s="1513"/>
      <c r="K610" s="1513"/>
      <c r="L610" s="1513"/>
      <c r="M610" s="1512"/>
      <c r="N610" s="1512"/>
      <c r="O610" s="1512"/>
    </row>
    <row r="611" spans="1:15">
      <c r="A611" s="1512"/>
      <c r="B611" s="1513"/>
      <c r="K611" s="1513"/>
      <c r="L611" s="1513"/>
      <c r="M611" s="1512"/>
      <c r="N611" s="1512"/>
      <c r="O611" s="1512"/>
    </row>
    <row r="612" spans="1:15">
      <c r="A612" s="1512"/>
      <c r="B612" s="1513"/>
      <c r="K612" s="1513"/>
      <c r="L612" s="1513"/>
      <c r="M612" s="1512"/>
      <c r="N612" s="1512"/>
      <c r="O612" s="1512"/>
    </row>
    <row r="613" spans="1:15">
      <c r="A613" s="1512"/>
      <c r="B613" s="1513"/>
      <c r="K613" s="1513"/>
      <c r="L613" s="1513"/>
      <c r="M613" s="1512"/>
      <c r="N613" s="1512"/>
      <c r="O613" s="1512"/>
    </row>
    <row r="614" spans="1:15">
      <c r="A614" s="1512"/>
      <c r="B614" s="1513"/>
      <c r="K614" s="1513"/>
      <c r="L614" s="1513"/>
      <c r="M614" s="1512"/>
      <c r="N614" s="1512"/>
      <c r="O614" s="1512"/>
    </row>
    <row r="615" spans="1:15">
      <c r="A615" s="1512"/>
      <c r="B615" s="1513"/>
      <c r="K615" s="1513"/>
      <c r="L615" s="1513"/>
      <c r="M615" s="1512"/>
      <c r="N615" s="1512"/>
      <c r="O615" s="1512"/>
    </row>
    <row r="616" spans="1:15">
      <c r="A616" s="1512"/>
      <c r="B616" s="1513"/>
      <c r="K616" s="1513"/>
      <c r="L616" s="1513"/>
      <c r="M616" s="1512"/>
      <c r="N616" s="1512"/>
      <c r="O616" s="1512"/>
    </row>
    <row r="617" spans="1:15">
      <c r="A617" s="1512"/>
      <c r="B617" s="1513"/>
      <c r="K617" s="1513"/>
      <c r="L617" s="1513"/>
      <c r="M617" s="1512"/>
      <c r="N617" s="1512"/>
      <c r="O617" s="1512"/>
    </row>
    <row r="618" spans="1:15">
      <c r="A618" s="1512"/>
      <c r="B618" s="1513"/>
      <c r="K618" s="1513"/>
      <c r="L618" s="1513"/>
      <c r="M618" s="1512"/>
      <c r="N618" s="1512"/>
      <c r="O618" s="1512"/>
    </row>
    <row r="619" spans="1:15">
      <c r="A619" s="1512"/>
      <c r="B619" s="1513"/>
      <c r="K619" s="1513"/>
      <c r="L619" s="1513"/>
      <c r="M619" s="1512"/>
      <c r="N619" s="1512"/>
      <c r="O619" s="1512"/>
    </row>
    <row r="620" spans="1:15">
      <c r="A620" s="1512"/>
      <c r="B620" s="1513"/>
      <c r="K620" s="1513"/>
      <c r="L620" s="1513"/>
      <c r="M620" s="1512"/>
      <c r="N620" s="1512"/>
      <c r="O620" s="1512"/>
    </row>
    <row r="621" spans="1:15">
      <c r="A621" s="1512"/>
      <c r="B621" s="1513"/>
      <c r="K621" s="1513"/>
      <c r="L621" s="1513"/>
      <c r="M621" s="1512"/>
      <c r="N621" s="1512"/>
      <c r="O621" s="1512"/>
    </row>
    <row r="622" spans="1:15">
      <c r="A622" s="1512"/>
      <c r="B622" s="1513"/>
      <c r="K622" s="1513"/>
      <c r="L622" s="1513"/>
      <c r="M622" s="1512"/>
      <c r="N622" s="1512"/>
      <c r="O622" s="1512"/>
    </row>
    <row r="623" spans="1:15">
      <c r="A623" s="1512"/>
      <c r="B623" s="1513"/>
      <c r="K623" s="1513"/>
      <c r="L623" s="1513"/>
      <c r="M623" s="1512"/>
      <c r="N623" s="1512"/>
      <c r="O623" s="1512"/>
    </row>
    <row r="624" spans="1:15">
      <c r="A624" s="1512"/>
      <c r="B624" s="1513"/>
      <c r="K624" s="1513"/>
      <c r="L624" s="1513"/>
      <c r="M624" s="1512"/>
      <c r="N624" s="1512"/>
      <c r="O624" s="1512"/>
    </row>
    <row r="625" spans="1:15">
      <c r="A625" s="1512"/>
      <c r="B625" s="1513"/>
      <c r="K625" s="1513"/>
      <c r="L625" s="1513"/>
      <c r="M625" s="1512"/>
      <c r="N625" s="1512"/>
      <c r="O625" s="1512"/>
    </row>
    <row r="626" spans="1:15">
      <c r="A626" s="1512"/>
      <c r="B626" s="1513"/>
      <c r="K626" s="1513"/>
      <c r="L626" s="1513"/>
      <c r="M626" s="1512"/>
      <c r="N626" s="1512"/>
      <c r="O626" s="1512"/>
    </row>
    <row r="627" spans="1:15">
      <c r="A627" s="1512"/>
      <c r="B627" s="1513"/>
      <c r="K627" s="1513"/>
      <c r="L627" s="1513"/>
      <c r="M627" s="1512"/>
      <c r="N627" s="1512"/>
      <c r="O627" s="1512"/>
    </row>
    <row r="628" spans="1:15">
      <c r="A628" s="1512"/>
      <c r="B628" s="1513"/>
      <c r="K628" s="1513"/>
      <c r="L628" s="1513"/>
      <c r="M628" s="1512"/>
      <c r="N628" s="1512"/>
      <c r="O628" s="1512"/>
    </row>
    <row r="629" spans="1:15">
      <c r="A629" s="1512"/>
      <c r="B629" s="1513"/>
      <c r="K629" s="1513"/>
      <c r="L629" s="1513"/>
      <c r="M629" s="1512"/>
      <c r="N629" s="1512"/>
      <c r="O629" s="1512"/>
    </row>
    <row r="630" spans="1:15">
      <c r="A630" s="1512"/>
      <c r="B630" s="1513"/>
      <c r="K630" s="1513"/>
      <c r="L630" s="1513"/>
      <c r="M630" s="1512"/>
      <c r="N630" s="1512"/>
      <c r="O630" s="1512"/>
    </row>
    <row r="631" spans="1:15">
      <c r="A631" s="1512"/>
      <c r="B631" s="1513"/>
      <c r="K631" s="1513"/>
      <c r="L631" s="1513"/>
      <c r="M631" s="1512"/>
      <c r="N631" s="1512"/>
      <c r="O631" s="1512"/>
    </row>
    <row r="632" spans="1:15">
      <c r="A632" s="1512"/>
      <c r="B632" s="1513"/>
      <c r="K632" s="1513"/>
      <c r="L632" s="1513"/>
      <c r="M632" s="1512"/>
      <c r="N632" s="1512"/>
      <c r="O632" s="1512"/>
    </row>
    <row r="633" spans="1:15">
      <c r="A633" s="1512"/>
      <c r="B633" s="1513"/>
      <c r="K633" s="1513"/>
      <c r="L633" s="1513"/>
      <c r="M633" s="1512"/>
      <c r="N633" s="1512"/>
      <c r="O633" s="1512"/>
    </row>
    <row r="634" spans="1:15">
      <c r="A634" s="1512"/>
      <c r="B634" s="1513"/>
      <c r="K634" s="1513"/>
      <c r="L634" s="1513"/>
      <c r="M634" s="1512"/>
      <c r="N634" s="1512"/>
      <c r="O634" s="1512"/>
    </row>
    <row r="635" spans="1:15">
      <c r="A635" s="1512"/>
      <c r="B635" s="1513"/>
      <c r="K635" s="1513"/>
      <c r="L635" s="1513"/>
      <c r="M635" s="1512"/>
      <c r="N635" s="1512"/>
      <c r="O635" s="1512"/>
    </row>
    <row r="636" spans="1:15">
      <c r="A636" s="1512"/>
      <c r="B636" s="1513"/>
      <c r="K636" s="1513"/>
      <c r="L636" s="1513"/>
      <c r="M636" s="1512"/>
      <c r="N636" s="1512"/>
      <c r="O636" s="1512"/>
    </row>
    <row r="637" spans="1:15">
      <c r="A637" s="1512"/>
      <c r="B637" s="1513"/>
      <c r="K637" s="1513"/>
      <c r="L637" s="1513"/>
      <c r="M637" s="1512"/>
      <c r="N637" s="1512"/>
      <c r="O637" s="1512"/>
    </row>
    <row r="638" spans="1:15">
      <c r="A638" s="1512"/>
      <c r="B638" s="1513"/>
      <c r="K638" s="1513"/>
      <c r="L638" s="1513"/>
      <c r="M638" s="1512"/>
      <c r="N638" s="1512"/>
      <c r="O638" s="1512"/>
    </row>
    <row r="639" spans="1:15">
      <c r="A639" s="1512"/>
      <c r="B639" s="1513"/>
      <c r="K639" s="1513"/>
      <c r="L639" s="1513"/>
      <c r="M639" s="1512"/>
      <c r="N639" s="1512"/>
      <c r="O639" s="1512"/>
    </row>
    <row r="640" spans="1:15">
      <c r="A640" s="1512"/>
      <c r="B640" s="1513"/>
      <c r="K640" s="1513"/>
      <c r="L640" s="1513"/>
      <c r="M640" s="1512"/>
      <c r="N640" s="1512"/>
      <c r="O640" s="1512"/>
    </row>
    <row r="641" spans="1:15">
      <c r="A641" s="1512"/>
      <c r="B641" s="1513"/>
      <c r="K641" s="1513"/>
      <c r="L641" s="1513"/>
      <c r="M641" s="1512"/>
      <c r="N641" s="1512"/>
      <c r="O641" s="1512"/>
    </row>
    <row r="642" spans="1:15">
      <c r="A642" s="1512"/>
      <c r="B642" s="1513"/>
      <c r="K642" s="1513"/>
      <c r="L642" s="1513"/>
      <c r="M642" s="1512"/>
      <c r="N642" s="1512"/>
      <c r="O642" s="1512"/>
    </row>
    <row r="643" spans="1:15">
      <c r="A643" s="1512"/>
      <c r="B643" s="1513"/>
      <c r="K643" s="1513"/>
      <c r="L643" s="1513"/>
      <c r="M643" s="1512"/>
      <c r="N643" s="1512"/>
      <c r="O643" s="1512"/>
    </row>
    <row r="644" spans="1:15">
      <c r="A644" s="1512"/>
      <c r="B644" s="1513"/>
      <c r="K644" s="1513"/>
      <c r="L644" s="1513"/>
      <c r="M644" s="1512"/>
      <c r="N644" s="1512"/>
      <c r="O644" s="1512"/>
    </row>
    <row r="645" spans="1:15">
      <c r="A645" s="1512"/>
      <c r="B645" s="1513"/>
      <c r="K645" s="1513"/>
      <c r="L645" s="1513"/>
      <c r="M645" s="1512"/>
      <c r="N645" s="1512"/>
      <c r="O645" s="1512"/>
    </row>
    <row r="646" spans="1:15">
      <c r="A646" s="1512"/>
      <c r="B646" s="1513"/>
      <c r="K646" s="1513"/>
      <c r="L646" s="1513"/>
      <c r="M646" s="1512"/>
      <c r="N646" s="1512"/>
      <c r="O646" s="1512"/>
    </row>
    <row r="647" spans="1:15">
      <c r="A647" s="1512"/>
      <c r="B647" s="1513"/>
      <c r="K647" s="1513"/>
      <c r="L647" s="1513"/>
      <c r="M647" s="1512"/>
      <c r="N647" s="1512"/>
      <c r="O647" s="1512"/>
    </row>
    <row r="648" spans="1:15">
      <c r="A648" s="1512"/>
      <c r="B648" s="1513"/>
      <c r="K648" s="1513"/>
      <c r="L648" s="1513"/>
      <c r="M648" s="1512"/>
      <c r="N648" s="1512"/>
      <c r="O648" s="1512"/>
    </row>
    <row r="649" spans="1:15">
      <c r="A649" s="1512"/>
      <c r="B649" s="1513"/>
      <c r="K649" s="1513"/>
      <c r="L649" s="1513"/>
      <c r="M649" s="1512"/>
      <c r="N649" s="1512"/>
      <c r="O649" s="1512"/>
    </row>
    <row r="650" spans="1:15">
      <c r="A650" s="1512"/>
      <c r="B650" s="1513"/>
      <c r="K650" s="1513"/>
      <c r="L650" s="1513"/>
      <c r="M650" s="1512"/>
      <c r="N650" s="1512"/>
      <c r="O650" s="1512"/>
    </row>
    <row r="651" spans="1:15">
      <c r="A651" s="1512"/>
      <c r="B651" s="1513"/>
      <c r="K651" s="1513"/>
      <c r="L651" s="1513"/>
      <c r="M651" s="1512"/>
      <c r="N651" s="1512"/>
      <c r="O651" s="1512"/>
    </row>
    <row r="652" spans="1:15">
      <c r="A652" s="1512"/>
      <c r="B652" s="1513"/>
      <c r="K652" s="1513"/>
      <c r="L652" s="1513"/>
      <c r="M652" s="1512"/>
      <c r="N652" s="1512"/>
      <c r="O652" s="1512"/>
    </row>
    <row r="653" spans="1:15">
      <c r="A653" s="1512"/>
      <c r="B653" s="1513"/>
      <c r="K653" s="1513"/>
      <c r="L653" s="1513"/>
      <c r="M653" s="1512"/>
      <c r="N653" s="1512"/>
      <c r="O653" s="1512"/>
    </row>
    <row r="654" spans="1:15">
      <c r="A654" s="1512"/>
      <c r="B654" s="1513"/>
      <c r="K654" s="1513"/>
      <c r="L654" s="1513"/>
      <c r="M654" s="1512"/>
      <c r="N654" s="1512"/>
      <c r="O654" s="1512"/>
    </row>
    <row r="655" spans="1:15">
      <c r="A655" s="1512"/>
      <c r="B655" s="1513"/>
      <c r="K655" s="1513"/>
      <c r="L655" s="1513"/>
      <c r="M655" s="1512"/>
      <c r="N655" s="1512"/>
      <c r="O655" s="1512"/>
    </row>
    <row r="656" spans="1:15">
      <c r="A656" s="1512"/>
      <c r="B656" s="1513"/>
      <c r="K656" s="1513"/>
      <c r="L656" s="1513"/>
      <c r="M656" s="1512"/>
      <c r="N656" s="1512"/>
      <c r="O656" s="1512"/>
    </row>
    <row r="657" spans="1:15">
      <c r="A657" s="1512"/>
      <c r="B657" s="1513"/>
      <c r="K657" s="1513"/>
      <c r="L657" s="1513"/>
      <c r="M657" s="1512"/>
      <c r="N657" s="1512"/>
      <c r="O657" s="1512"/>
    </row>
    <row r="658" spans="1:15">
      <c r="A658" s="1512"/>
      <c r="B658" s="1513"/>
      <c r="K658" s="1513"/>
      <c r="L658" s="1513"/>
      <c r="M658" s="1512"/>
      <c r="N658" s="1512"/>
      <c r="O658" s="1512"/>
    </row>
    <row r="659" spans="1:15">
      <c r="A659" s="1512"/>
      <c r="B659" s="1513"/>
      <c r="K659" s="1513"/>
      <c r="L659" s="1513"/>
      <c r="M659" s="1512"/>
      <c r="N659" s="1512"/>
      <c r="O659" s="1512"/>
    </row>
    <row r="660" spans="1:15">
      <c r="A660" s="1512"/>
      <c r="B660" s="1513"/>
      <c r="K660" s="1513"/>
      <c r="L660" s="1513"/>
      <c r="M660" s="1512"/>
      <c r="N660" s="1512"/>
      <c r="O660" s="1512"/>
    </row>
    <row r="661" spans="1:15">
      <c r="A661" s="1512"/>
      <c r="B661" s="1513"/>
      <c r="K661" s="1513"/>
      <c r="L661" s="1513"/>
      <c r="M661" s="1512"/>
      <c r="N661" s="1512"/>
      <c r="O661" s="1512"/>
    </row>
    <row r="662" spans="1:15">
      <c r="A662" s="1512"/>
      <c r="B662" s="1513"/>
      <c r="K662" s="1513"/>
      <c r="L662" s="1513"/>
      <c r="M662" s="1512"/>
      <c r="N662" s="1512"/>
      <c r="O662" s="1512"/>
    </row>
    <row r="663" spans="1:15">
      <c r="A663" s="1512"/>
      <c r="B663" s="1513"/>
      <c r="K663" s="1513"/>
      <c r="L663" s="1513"/>
      <c r="M663" s="1512"/>
      <c r="N663" s="1512"/>
      <c r="O663" s="1512"/>
    </row>
    <row r="664" spans="1:15">
      <c r="A664" s="1512"/>
      <c r="B664" s="1513"/>
      <c r="K664" s="1513"/>
      <c r="L664" s="1513"/>
      <c r="M664" s="1512"/>
      <c r="N664" s="1512"/>
      <c r="O664" s="1512"/>
    </row>
    <row r="665" spans="1:15">
      <c r="A665" s="1512"/>
      <c r="B665" s="1513"/>
      <c r="K665" s="1513"/>
      <c r="L665" s="1513"/>
      <c r="M665" s="1512"/>
      <c r="N665" s="1512"/>
      <c r="O665" s="1512"/>
    </row>
    <row r="666" spans="1:15">
      <c r="A666" s="1512"/>
      <c r="B666" s="1513"/>
      <c r="K666" s="1513"/>
      <c r="L666" s="1513"/>
      <c r="M666" s="1512"/>
      <c r="N666" s="1512"/>
      <c r="O666" s="1512"/>
    </row>
    <row r="667" spans="1:15">
      <c r="A667" s="1512"/>
      <c r="B667" s="1513"/>
      <c r="K667" s="1513"/>
      <c r="L667" s="1513"/>
      <c r="M667" s="1512"/>
      <c r="N667" s="1512"/>
      <c r="O667" s="1512"/>
    </row>
    <row r="668" spans="1:15">
      <c r="A668" s="1512"/>
      <c r="B668" s="1513"/>
      <c r="K668" s="1513"/>
      <c r="L668" s="1513"/>
      <c r="M668" s="1512"/>
      <c r="N668" s="1512"/>
      <c r="O668" s="1512"/>
    </row>
    <row r="669" spans="1:15">
      <c r="A669" s="1512"/>
      <c r="B669" s="1513"/>
      <c r="K669" s="1513"/>
      <c r="L669" s="1513"/>
      <c r="M669" s="1512"/>
      <c r="N669" s="1512"/>
      <c r="O669" s="1512"/>
    </row>
    <row r="670" spans="1:15">
      <c r="A670" s="1512"/>
      <c r="B670" s="1513"/>
      <c r="K670" s="1513"/>
      <c r="L670" s="1513"/>
      <c r="M670" s="1512"/>
      <c r="N670" s="1512"/>
      <c r="O670" s="1512"/>
    </row>
    <row r="671" spans="1:15">
      <c r="A671" s="1512"/>
      <c r="B671" s="1513"/>
      <c r="K671" s="1513"/>
      <c r="L671" s="1513"/>
      <c r="M671" s="1512"/>
      <c r="N671" s="1512"/>
      <c r="O671" s="1512"/>
    </row>
    <row r="672" spans="1:15">
      <c r="A672" s="1512"/>
      <c r="B672" s="1513"/>
      <c r="K672" s="1513"/>
      <c r="L672" s="1513"/>
      <c r="M672" s="1512"/>
      <c r="N672" s="1512"/>
      <c r="O672" s="1512"/>
    </row>
    <row r="673" spans="1:15">
      <c r="A673" s="1512"/>
      <c r="B673" s="1513"/>
      <c r="K673" s="1513"/>
      <c r="L673" s="1513"/>
      <c r="M673" s="1512"/>
      <c r="N673" s="1512"/>
      <c r="O673" s="1512"/>
    </row>
    <row r="674" spans="1:15">
      <c r="A674" s="1512"/>
      <c r="B674" s="1513"/>
      <c r="K674" s="1513"/>
      <c r="L674" s="1513"/>
      <c r="M674" s="1512"/>
      <c r="N674" s="1512"/>
      <c r="O674" s="1512"/>
    </row>
    <row r="675" spans="1:15">
      <c r="A675" s="1512"/>
      <c r="B675" s="1513"/>
      <c r="K675" s="1513"/>
      <c r="L675" s="1513"/>
      <c r="M675" s="1512"/>
      <c r="N675" s="1512"/>
      <c r="O675" s="1512"/>
    </row>
    <row r="676" spans="1:15">
      <c r="A676" s="1512"/>
      <c r="B676" s="1513"/>
      <c r="K676" s="1513"/>
      <c r="L676" s="1513"/>
      <c r="M676" s="1512"/>
      <c r="N676" s="1512"/>
      <c r="O676" s="1512"/>
    </row>
    <row r="677" spans="1:15">
      <c r="A677" s="1512"/>
      <c r="B677" s="1513"/>
      <c r="K677" s="1513"/>
      <c r="L677" s="1513"/>
      <c r="M677" s="1512"/>
      <c r="N677" s="1512"/>
      <c r="O677" s="1512"/>
    </row>
    <row r="678" spans="1:15">
      <c r="A678" s="1512"/>
      <c r="B678" s="1513"/>
      <c r="K678" s="1513"/>
      <c r="L678" s="1513"/>
      <c r="M678" s="1512"/>
      <c r="N678" s="1512"/>
      <c r="O678" s="1512"/>
    </row>
    <row r="679" spans="1:15">
      <c r="A679" s="1512"/>
      <c r="B679" s="1513"/>
      <c r="K679" s="1513"/>
      <c r="L679" s="1513"/>
      <c r="M679" s="1512"/>
      <c r="N679" s="1512"/>
      <c r="O679" s="1512"/>
    </row>
    <row r="680" spans="1:15">
      <c r="A680" s="1512"/>
      <c r="B680" s="1513"/>
      <c r="K680" s="1513"/>
      <c r="L680" s="1513"/>
      <c r="M680" s="1512"/>
      <c r="N680" s="1512"/>
      <c r="O680" s="1512"/>
    </row>
    <row r="681" spans="1:15">
      <c r="A681" s="1512"/>
      <c r="B681" s="1513"/>
      <c r="K681" s="1513"/>
      <c r="L681" s="1513"/>
      <c r="M681" s="1512"/>
      <c r="N681" s="1512"/>
      <c r="O681" s="1512"/>
    </row>
    <row r="682" spans="1:15">
      <c r="A682" s="1512"/>
      <c r="B682" s="1513"/>
      <c r="K682" s="1513"/>
      <c r="L682" s="1513"/>
      <c r="M682" s="1512"/>
      <c r="N682" s="1512"/>
      <c r="O682" s="1512"/>
    </row>
    <row r="683" spans="1:15">
      <c r="A683" s="1512"/>
      <c r="B683" s="1513"/>
      <c r="K683" s="1513"/>
      <c r="L683" s="1513"/>
      <c r="M683" s="1512"/>
      <c r="N683" s="1512"/>
      <c r="O683" s="1512"/>
    </row>
    <row r="684" spans="1:15">
      <c r="A684" s="1512"/>
      <c r="B684" s="1513"/>
      <c r="K684" s="1513"/>
      <c r="L684" s="1513"/>
      <c r="M684" s="1512"/>
      <c r="N684" s="1512"/>
      <c r="O684" s="1512"/>
    </row>
    <row r="685" spans="1:15">
      <c r="A685" s="1512"/>
      <c r="B685" s="1513"/>
      <c r="K685" s="1513"/>
      <c r="L685" s="1513"/>
      <c r="M685" s="1512"/>
      <c r="N685" s="1512"/>
      <c r="O685" s="1512"/>
    </row>
    <row r="686" spans="1:15">
      <c r="A686" s="1512"/>
      <c r="B686" s="1513"/>
      <c r="K686" s="1513"/>
      <c r="L686" s="1513"/>
      <c r="M686" s="1512"/>
      <c r="N686" s="1512"/>
      <c r="O686" s="1512"/>
    </row>
    <row r="687" spans="1:15">
      <c r="A687" s="1512"/>
      <c r="B687" s="1513"/>
      <c r="K687" s="1513"/>
      <c r="L687" s="1513"/>
      <c r="M687" s="1512"/>
      <c r="N687" s="1512"/>
      <c r="O687" s="1512"/>
    </row>
    <row r="688" spans="1:15">
      <c r="A688" s="1512"/>
      <c r="B688" s="1513"/>
      <c r="K688" s="1513"/>
      <c r="L688" s="1513"/>
      <c r="M688" s="1512"/>
      <c r="N688" s="1512"/>
      <c r="O688" s="1512"/>
    </row>
    <row r="689" spans="1:15">
      <c r="A689" s="1512"/>
      <c r="B689" s="1513"/>
      <c r="K689" s="1513"/>
      <c r="L689" s="1513"/>
      <c r="M689" s="1512"/>
      <c r="N689" s="1512"/>
      <c r="O689" s="1512"/>
    </row>
    <row r="690" spans="1:15">
      <c r="A690" s="1512"/>
      <c r="B690" s="1513"/>
      <c r="K690" s="1513"/>
      <c r="L690" s="1513"/>
      <c r="M690" s="1512"/>
      <c r="N690" s="1512"/>
      <c r="O690" s="1512"/>
    </row>
    <row r="691" spans="1:15">
      <c r="A691" s="1512"/>
      <c r="B691" s="1513"/>
      <c r="K691" s="1513"/>
      <c r="L691" s="1513"/>
      <c r="M691" s="1512"/>
      <c r="N691" s="1512"/>
      <c r="O691" s="1512"/>
    </row>
    <row r="692" spans="1:15">
      <c r="A692" s="1512"/>
      <c r="B692" s="1513"/>
      <c r="K692" s="1513"/>
      <c r="L692" s="1513"/>
      <c r="M692" s="1512"/>
      <c r="N692" s="1512"/>
      <c r="O692" s="1512"/>
    </row>
    <row r="693" spans="1:15">
      <c r="A693" s="1512"/>
      <c r="B693" s="1513"/>
      <c r="K693" s="1513"/>
      <c r="L693" s="1513"/>
      <c r="M693" s="1512"/>
      <c r="N693" s="1512"/>
      <c r="O693" s="1512"/>
    </row>
    <row r="694" spans="1:15">
      <c r="A694" s="1512"/>
      <c r="B694" s="1513"/>
      <c r="K694" s="1513"/>
      <c r="L694" s="1513"/>
      <c r="M694" s="1512"/>
      <c r="N694" s="1512"/>
      <c r="O694" s="1512"/>
    </row>
    <row r="695" spans="1:15">
      <c r="A695" s="1512"/>
      <c r="B695" s="1513"/>
      <c r="K695" s="1513"/>
      <c r="L695" s="1513"/>
      <c r="M695" s="1512"/>
      <c r="N695" s="1512"/>
      <c r="O695" s="1512"/>
    </row>
    <row r="696" spans="1:15">
      <c r="A696" s="1512"/>
      <c r="B696" s="1513"/>
      <c r="K696" s="1513"/>
      <c r="L696" s="1513"/>
      <c r="M696" s="1512"/>
      <c r="N696" s="1512"/>
      <c r="O696" s="1512"/>
    </row>
    <row r="697" spans="1:15">
      <c r="A697" s="1512"/>
      <c r="B697" s="1513"/>
      <c r="K697" s="1513"/>
      <c r="L697" s="1513"/>
      <c r="M697" s="1512"/>
      <c r="N697" s="1512"/>
      <c r="O697" s="1512"/>
    </row>
    <row r="698" spans="1:15">
      <c r="A698" s="1512"/>
      <c r="B698" s="1513"/>
      <c r="K698" s="1513"/>
      <c r="L698" s="1513"/>
      <c r="M698" s="1512"/>
      <c r="N698" s="1512"/>
      <c r="O698" s="1512"/>
    </row>
    <row r="699" spans="1:15">
      <c r="A699" s="1512"/>
      <c r="B699" s="1513"/>
      <c r="K699" s="1513"/>
      <c r="L699" s="1513"/>
      <c r="M699" s="1512"/>
      <c r="N699" s="1512"/>
      <c r="O699" s="1512"/>
    </row>
    <row r="700" spans="1:15">
      <c r="A700" s="1512"/>
      <c r="B700" s="1513"/>
      <c r="K700" s="1513"/>
      <c r="L700" s="1513"/>
      <c r="M700" s="1512"/>
      <c r="N700" s="1512"/>
      <c r="O700" s="1512"/>
    </row>
    <row r="701" spans="1:15">
      <c r="A701" s="1512"/>
      <c r="B701" s="1513"/>
      <c r="K701" s="1513"/>
      <c r="L701" s="1513"/>
      <c r="M701" s="1512"/>
      <c r="N701" s="1512"/>
      <c r="O701" s="1512"/>
    </row>
    <row r="702" spans="1:15">
      <c r="A702" s="1512"/>
      <c r="B702" s="1513"/>
      <c r="K702" s="1513"/>
      <c r="L702" s="1513"/>
      <c r="M702" s="1512"/>
      <c r="N702" s="1512"/>
      <c r="O702" s="1512"/>
    </row>
    <row r="703" spans="1:15">
      <c r="A703" s="1512"/>
      <c r="B703" s="1513"/>
      <c r="K703" s="1513"/>
      <c r="L703" s="1513"/>
      <c r="M703" s="1512"/>
      <c r="N703" s="1512"/>
      <c r="O703" s="1512"/>
    </row>
    <row r="704" spans="1:15">
      <c r="A704" s="1512"/>
      <c r="B704" s="1513"/>
      <c r="K704" s="1513"/>
      <c r="L704" s="1513"/>
      <c r="M704" s="1512"/>
      <c r="N704" s="1512"/>
      <c r="O704" s="1512"/>
    </row>
    <row r="705" spans="1:15">
      <c r="A705" s="1512"/>
      <c r="B705" s="1513"/>
      <c r="K705" s="1513"/>
      <c r="L705" s="1513"/>
      <c r="M705" s="1512"/>
      <c r="N705" s="1512"/>
      <c r="O705" s="1512"/>
    </row>
    <row r="706" spans="1:15">
      <c r="A706" s="1512"/>
      <c r="B706" s="1513"/>
      <c r="K706" s="1513"/>
      <c r="L706" s="1513"/>
      <c r="M706" s="1512"/>
      <c r="N706" s="1512"/>
      <c r="O706" s="1512"/>
    </row>
    <row r="707" spans="1:15">
      <c r="A707" s="1512"/>
      <c r="B707" s="1513"/>
      <c r="K707" s="1513"/>
      <c r="L707" s="1513"/>
      <c r="M707" s="1512"/>
      <c r="N707" s="1512"/>
      <c r="O707" s="1512"/>
    </row>
    <row r="708" spans="1:15">
      <c r="A708" s="1512"/>
      <c r="B708" s="1513"/>
      <c r="K708" s="1513"/>
      <c r="L708" s="1513"/>
      <c r="M708" s="1512"/>
      <c r="N708" s="1512"/>
      <c r="O708" s="1512"/>
    </row>
    <row r="709" spans="1:15">
      <c r="A709" s="1512"/>
      <c r="B709" s="1513"/>
      <c r="K709" s="1513"/>
      <c r="L709" s="1513"/>
      <c r="M709" s="1512"/>
      <c r="N709" s="1512"/>
      <c r="O709" s="1512"/>
    </row>
    <row r="710" spans="1:15">
      <c r="A710" s="1512"/>
      <c r="B710" s="1513"/>
      <c r="K710" s="1513"/>
      <c r="L710" s="1513"/>
      <c r="M710" s="1512"/>
      <c r="N710" s="1512"/>
      <c r="O710" s="1512"/>
    </row>
    <row r="711" spans="1:15">
      <c r="A711" s="1512"/>
      <c r="B711" s="1513"/>
      <c r="K711" s="1513"/>
      <c r="L711" s="1513"/>
      <c r="M711" s="1512"/>
      <c r="N711" s="1512"/>
      <c r="O711" s="1512"/>
    </row>
    <row r="712" spans="1:15">
      <c r="A712" s="1512"/>
      <c r="B712" s="1513"/>
      <c r="K712" s="1513"/>
      <c r="L712" s="1513"/>
      <c r="M712" s="1512"/>
      <c r="N712" s="1512"/>
      <c r="O712" s="1512"/>
    </row>
    <row r="713" spans="1:15">
      <c r="A713" s="1512"/>
      <c r="B713" s="1513"/>
      <c r="K713" s="1513"/>
      <c r="L713" s="1513"/>
      <c r="M713" s="1512"/>
      <c r="N713" s="1512"/>
      <c r="O713" s="1512"/>
    </row>
    <row r="714" spans="1:15">
      <c r="A714" s="1512"/>
      <c r="B714" s="1513"/>
      <c r="K714" s="1513"/>
      <c r="L714" s="1513"/>
      <c r="M714" s="1512"/>
      <c r="N714" s="1512"/>
      <c r="O714" s="1512"/>
    </row>
    <row r="715" spans="1:15">
      <c r="A715" s="1512"/>
      <c r="B715" s="1513"/>
      <c r="K715" s="1513"/>
      <c r="L715" s="1513"/>
      <c r="M715" s="1512"/>
      <c r="N715" s="1512"/>
      <c r="O715" s="1512"/>
    </row>
    <row r="716" spans="1:15">
      <c r="A716" s="1512"/>
      <c r="B716" s="1513"/>
      <c r="K716" s="1513"/>
      <c r="L716" s="1513"/>
      <c r="M716" s="1512"/>
      <c r="N716" s="1512"/>
      <c r="O716" s="1512"/>
    </row>
    <row r="717" spans="1:15">
      <c r="A717" s="1512"/>
      <c r="B717" s="1513"/>
      <c r="K717" s="1513"/>
      <c r="L717" s="1513"/>
      <c r="M717" s="1512"/>
      <c r="N717" s="1512"/>
      <c r="O717" s="1512"/>
    </row>
    <row r="718" spans="1:15">
      <c r="A718" s="1512"/>
      <c r="B718" s="1513"/>
      <c r="K718" s="1513"/>
      <c r="L718" s="1513"/>
      <c r="M718" s="1512"/>
      <c r="N718" s="1512"/>
      <c r="O718" s="1512"/>
    </row>
    <row r="719" spans="1:15">
      <c r="A719" s="1512"/>
      <c r="B719" s="1513"/>
      <c r="K719" s="1513"/>
      <c r="L719" s="1513"/>
      <c r="M719" s="1512"/>
      <c r="N719" s="1512"/>
      <c r="O719" s="1512"/>
    </row>
    <row r="720" spans="1:15">
      <c r="A720" s="1512"/>
      <c r="B720" s="1513"/>
      <c r="K720" s="1513"/>
      <c r="L720" s="1513"/>
      <c r="M720" s="1512"/>
      <c r="N720" s="1512"/>
      <c r="O720" s="1512"/>
    </row>
    <row r="721" spans="1:15">
      <c r="A721" s="1512"/>
      <c r="B721" s="1513"/>
      <c r="K721" s="1513"/>
      <c r="L721" s="1513"/>
      <c r="M721" s="1512"/>
      <c r="N721" s="1512"/>
      <c r="O721" s="1512"/>
    </row>
    <row r="722" spans="1:15">
      <c r="A722" s="1512"/>
      <c r="B722" s="1513"/>
      <c r="K722" s="1513"/>
      <c r="L722" s="1513"/>
      <c r="M722" s="1512"/>
      <c r="N722" s="1512"/>
      <c r="O722" s="1512"/>
    </row>
    <row r="723" spans="1:15">
      <c r="A723" s="1512"/>
      <c r="B723" s="1513"/>
      <c r="K723" s="1513"/>
      <c r="L723" s="1513"/>
      <c r="M723" s="1512"/>
      <c r="N723" s="1512"/>
      <c r="O723" s="1512"/>
    </row>
    <row r="724" spans="1:15">
      <c r="A724" s="1512"/>
      <c r="B724" s="1513"/>
      <c r="K724" s="1513"/>
      <c r="L724" s="1513"/>
      <c r="M724" s="1512"/>
      <c r="N724" s="1512"/>
      <c r="O724" s="1512"/>
    </row>
    <row r="725" spans="1:15">
      <c r="A725" s="1512"/>
      <c r="B725" s="1513"/>
      <c r="K725" s="1513"/>
      <c r="L725" s="1513"/>
      <c r="M725" s="1512"/>
      <c r="N725" s="1512"/>
      <c r="O725" s="1512"/>
    </row>
    <row r="726" spans="1:15">
      <c r="A726" s="1512"/>
      <c r="B726" s="1513"/>
      <c r="K726" s="1513"/>
      <c r="L726" s="1513"/>
      <c r="M726" s="1512"/>
      <c r="N726" s="1512"/>
      <c r="O726" s="1512"/>
    </row>
    <row r="727" spans="1:15">
      <c r="A727" s="1512"/>
      <c r="B727" s="1513"/>
      <c r="K727" s="1513"/>
      <c r="L727" s="1513"/>
      <c r="M727" s="1512"/>
      <c r="N727" s="1512"/>
      <c r="O727" s="1512"/>
    </row>
    <row r="728" spans="1:15">
      <c r="A728" s="1512"/>
      <c r="B728" s="1513"/>
      <c r="K728" s="1513"/>
      <c r="L728" s="1513"/>
      <c r="M728" s="1512"/>
      <c r="N728" s="1512"/>
      <c r="O728" s="1512"/>
    </row>
    <row r="729" spans="1:15">
      <c r="A729" s="1512"/>
      <c r="B729" s="1513"/>
      <c r="K729" s="1513"/>
      <c r="L729" s="1513"/>
      <c r="M729" s="1512"/>
      <c r="N729" s="1512"/>
      <c r="O729" s="1512"/>
    </row>
    <row r="730" spans="1:15">
      <c r="A730" s="1512"/>
      <c r="B730" s="1513"/>
      <c r="K730" s="1513"/>
      <c r="L730" s="1513"/>
      <c r="M730" s="1512"/>
      <c r="N730" s="1512"/>
      <c r="O730" s="1512"/>
    </row>
    <row r="731" spans="1:15">
      <c r="A731" s="1512"/>
      <c r="B731" s="1513"/>
      <c r="K731" s="1513"/>
      <c r="L731" s="1513"/>
      <c r="M731" s="1512"/>
      <c r="N731" s="1512"/>
      <c r="O731" s="1512"/>
    </row>
    <row r="732" spans="1:15">
      <c r="A732" s="1512"/>
      <c r="B732" s="1513"/>
      <c r="K732" s="1513"/>
      <c r="L732" s="1513"/>
      <c r="M732" s="1512"/>
      <c r="N732" s="1512"/>
      <c r="O732" s="1512"/>
    </row>
    <row r="733" spans="1:15">
      <c r="A733" s="1512"/>
      <c r="B733" s="1513"/>
      <c r="K733" s="1513"/>
      <c r="L733" s="1513"/>
      <c r="M733" s="1512"/>
      <c r="N733" s="1512"/>
      <c r="O733" s="1512"/>
    </row>
    <row r="734" spans="1:15">
      <c r="A734" s="1512"/>
      <c r="B734" s="1513"/>
      <c r="K734" s="1513"/>
      <c r="L734" s="1513"/>
      <c r="M734" s="1512"/>
      <c r="N734" s="1512"/>
      <c r="O734" s="1512"/>
    </row>
    <row r="735" spans="1:15">
      <c r="A735" s="1512"/>
      <c r="B735" s="1513"/>
      <c r="K735" s="1513"/>
      <c r="L735" s="1513"/>
      <c r="M735" s="1512"/>
      <c r="N735" s="1512"/>
      <c r="O735" s="1512"/>
    </row>
    <row r="736" spans="1:15">
      <c r="A736" s="1512"/>
      <c r="B736" s="1513"/>
      <c r="K736" s="1513"/>
      <c r="L736" s="1513"/>
      <c r="M736" s="1512"/>
      <c r="N736" s="1512"/>
      <c r="O736" s="1512"/>
    </row>
    <row r="737" spans="1:15">
      <c r="A737" s="1512"/>
      <c r="B737" s="1513"/>
      <c r="K737" s="1513"/>
      <c r="L737" s="1513"/>
      <c r="M737" s="1512"/>
      <c r="N737" s="1512"/>
      <c r="O737" s="1512"/>
    </row>
    <row r="738" spans="1:15">
      <c r="A738" s="1512"/>
      <c r="B738" s="1513"/>
      <c r="K738" s="1513"/>
      <c r="L738" s="1513"/>
      <c r="M738" s="1512"/>
      <c r="N738" s="1512"/>
      <c r="O738" s="1512"/>
    </row>
    <row r="739" spans="1:15">
      <c r="A739" s="1512"/>
      <c r="B739" s="1513"/>
      <c r="K739" s="1513"/>
      <c r="L739" s="1513"/>
      <c r="M739" s="1512"/>
      <c r="N739" s="1512"/>
      <c r="O739" s="1512"/>
    </row>
    <row r="740" spans="1:15">
      <c r="A740" s="1512"/>
      <c r="B740" s="1513"/>
      <c r="K740" s="1513"/>
      <c r="L740" s="1513"/>
      <c r="M740" s="1512"/>
      <c r="N740" s="1512"/>
      <c r="O740" s="1512"/>
    </row>
    <row r="741" spans="1:15">
      <c r="A741" s="1512"/>
      <c r="B741" s="1513"/>
      <c r="K741" s="1513"/>
      <c r="L741" s="1513"/>
      <c r="M741" s="1512"/>
      <c r="N741" s="1512"/>
      <c r="O741" s="1512"/>
    </row>
    <row r="742" spans="1:15">
      <c r="A742" s="1512"/>
      <c r="B742" s="1513"/>
      <c r="K742" s="1513"/>
      <c r="L742" s="1513"/>
      <c r="M742" s="1512"/>
      <c r="N742" s="1512"/>
      <c r="O742" s="1512"/>
    </row>
    <row r="743" spans="1:15">
      <c r="A743" s="1512"/>
      <c r="B743" s="1513"/>
      <c r="K743" s="1513"/>
      <c r="L743" s="1513"/>
      <c r="M743" s="1512"/>
      <c r="N743" s="1512"/>
      <c r="O743" s="1512"/>
    </row>
    <row r="744" spans="1:15">
      <c r="A744" s="1512"/>
      <c r="B744" s="1513"/>
      <c r="K744" s="1513"/>
      <c r="L744" s="1513"/>
      <c r="M744" s="1512"/>
      <c r="N744" s="1512"/>
      <c r="O744" s="1512"/>
    </row>
    <row r="745" spans="1:15">
      <c r="A745" s="1512"/>
      <c r="B745" s="1513"/>
      <c r="K745" s="1513"/>
      <c r="L745" s="1513"/>
      <c r="M745" s="1512"/>
      <c r="N745" s="1512"/>
      <c r="O745" s="1512"/>
    </row>
    <row r="746" spans="1:15">
      <c r="A746" s="1512"/>
      <c r="B746" s="1513"/>
      <c r="K746" s="1513"/>
      <c r="L746" s="1513"/>
      <c r="M746" s="1512"/>
      <c r="N746" s="1512"/>
      <c r="O746" s="1512"/>
    </row>
    <row r="747" spans="1:15">
      <c r="A747" s="1512"/>
      <c r="B747" s="1513"/>
      <c r="K747" s="1513"/>
      <c r="L747" s="1513"/>
      <c r="M747" s="1512"/>
      <c r="N747" s="1512"/>
      <c r="O747" s="1512"/>
    </row>
    <row r="748" spans="1:15">
      <c r="A748" s="1512"/>
      <c r="B748" s="1513"/>
      <c r="K748" s="1513"/>
      <c r="L748" s="1513"/>
      <c r="M748" s="1512"/>
      <c r="N748" s="1512"/>
      <c r="O748" s="1512"/>
    </row>
    <row r="749" spans="1:15">
      <c r="A749" s="1512"/>
      <c r="B749" s="1513"/>
      <c r="K749" s="1513"/>
      <c r="L749" s="1513"/>
      <c r="M749" s="1512"/>
      <c r="N749" s="1512"/>
      <c r="O749" s="1512"/>
    </row>
    <row r="750" spans="1:15">
      <c r="A750" s="1512"/>
      <c r="B750" s="1513"/>
      <c r="K750" s="1513"/>
      <c r="L750" s="1513"/>
      <c r="M750" s="1512"/>
      <c r="N750" s="1512"/>
      <c r="O750" s="1512"/>
    </row>
    <row r="751" spans="1:15">
      <c r="A751" s="1512"/>
      <c r="B751" s="1513"/>
      <c r="K751" s="1513"/>
      <c r="L751" s="1513"/>
      <c r="M751" s="1512"/>
      <c r="N751" s="1512"/>
      <c r="O751" s="1512"/>
    </row>
    <row r="752" spans="1:15">
      <c r="A752" s="1512"/>
      <c r="B752" s="1513"/>
      <c r="K752" s="1513"/>
      <c r="L752" s="1513"/>
      <c r="M752" s="1512"/>
      <c r="N752" s="1512"/>
      <c r="O752" s="1512"/>
    </row>
    <row r="753" spans="1:15">
      <c r="A753" s="1512"/>
      <c r="B753" s="1513"/>
      <c r="K753" s="1513"/>
      <c r="L753" s="1513"/>
      <c r="M753" s="1512"/>
      <c r="N753" s="1512"/>
      <c r="O753" s="1512"/>
    </row>
    <row r="754" spans="1:15">
      <c r="A754" s="1512"/>
      <c r="B754" s="1513"/>
      <c r="K754" s="1513"/>
      <c r="L754" s="1513"/>
      <c r="M754" s="1512"/>
      <c r="N754" s="1512"/>
      <c r="O754" s="1512"/>
    </row>
    <row r="755" spans="1:15">
      <c r="A755" s="1512"/>
      <c r="B755" s="1513"/>
      <c r="K755" s="1513"/>
      <c r="L755" s="1513"/>
      <c r="M755" s="1512"/>
      <c r="N755" s="1512"/>
      <c r="O755" s="1512"/>
    </row>
    <row r="756" spans="1:15">
      <c r="A756" s="1512"/>
      <c r="B756" s="1513"/>
      <c r="K756" s="1513"/>
      <c r="L756" s="1513"/>
      <c r="M756" s="1512"/>
      <c r="N756" s="1512"/>
      <c r="O756" s="1512"/>
    </row>
    <row r="757" spans="1:15">
      <c r="A757" s="1512"/>
      <c r="B757" s="1513"/>
      <c r="K757" s="1513"/>
      <c r="L757" s="1513"/>
      <c r="M757" s="1512"/>
      <c r="N757" s="1512"/>
      <c r="O757" s="1512"/>
    </row>
    <row r="758" spans="1:15">
      <c r="A758" s="1512"/>
      <c r="B758" s="1513"/>
      <c r="K758" s="1513"/>
      <c r="L758" s="1513"/>
      <c r="M758" s="1512"/>
      <c r="N758" s="1512"/>
      <c r="O758" s="1512"/>
    </row>
    <row r="759" spans="1:15">
      <c r="A759" s="1512"/>
      <c r="B759" s="1513"/>
      <c r="K759" s="1513"/>
      <c r="L759" s="1513"/>
      <c r="M759" s="1512"/>
      <c r="N759" s="1512"/>
      <c r="O759" s="1512"/>
    </row>
    <row r="760" spans="1:15">
      <c r="A760" s="1512"/>
      <c r="B760" s="1513"/>
      <c r="K760" s="1513"/>
      <c r="L760" s="1513"/>
      <c r="M760" s="1512"/>
      <c r="N760" s="1512"/>
      <c r="O760" s="1512"/>
    </row>
    <row r="761" spans="1:15">
      <c r="A761" s="1512"/>
      <c r="B761" s="1513"/>
      <c r="K761" s="1513"/>
      <c r="L761" s="1513"/>
      <c r="M761" s="1512"/>
      <c r="N761" s="1512"/>
      <c r="O761" s="1512"/>
    </row>
    <row r="762" spans="1:15">
      <c r="A762" s="1512"/>
      <c r="B762" s="1513"/>
      <c r="K762" s="1513"/>
      <c r="L762" s="1513"/>
      <c r="M762" s="1512"/>
      <c r="N762" s="1512"/>
      <c r="O762" s="1512"/>
    </row>
    <row r="763" spans="1:15">
      <c r="A763" s="1512"/>
      <c r="B763" s="1513"/>
      <c r="K763" s="1513"/>
      <c r="L763" s="1513"/>
      <c r="M763" s="1512"/>
      <c r="N763" s="1512"/>
      <c r="O763" s="1512"/>
    </row>
    <row r="764" spans="1:15">
      <c r="A764" s="1512"/>
      <c r="B764" s="1513"/>
      <c r="K764" s="1513"/>
      <c r="L764" s="1513"/>
      <c r="M764" s="1512"/>
      <c r="N764" s="1512"/>
      <c r="O764" s="1512"/>
    </row>
    <row r="765" spans="1:15">
      <c r="A765" s="1512"/>
      <c r="B765" s="1513"/>
      <c r="K765" s="1513"/>
      <c r="L765" s="1513"/>
      <c r="M765" s="1512"/>
      <c r="N765" s="1512"/>
      <c r="O765" s="1512"/>
    </row>
    <row r="766" spans="1:15">
      <c r="A766" s="1512"/>
      <c r="B766" s="1513"/>
      <c r="K766" s="1513"/>
      <c r="L766" s="1513"/>
      <c r="M766" s="1512"/>
      <c r="N766" s="1512"/>
      <c r="O766" s="1512"/>
    </row>
    <row r="767" spans="1:15">
      <c r="A767" s="1512"/>
      <c r="B767" s="1513"/>
      <c r="K767" s="1513"/>
      <c r="L767" s="1513"/>
      <c r="M767" s="1512"/>
      <c r="N767" s="1512"/>
      <c r="O767" s="1512"/>
    </row>
    <row r="768" spans="1:15">
      <c r="A768" s="1512"/>
      <c r="B768" s="1513"/>
      <c r="K768" s="1513"/>
      <c r="L768" s="1513"/>
      <c r="M768" s="1512"/>
      <c r="N768" s="1512"/>
      <c r="O768" s="1512"/>
    </row>
    <row r="769" spans="1:15">
      <c r="A769" s="1512"/>
      <c r="B769" s="1513"/>
      <c r="K769" s="1513"/>
      <c r="L769" s="1513"/>
      <c r="M769" s="1512"/>
      <c r="N769" s="1512"/>
      <c r="O769" s="1512"/>
    </row>
    <row r="770" spans="1:15">
      <c r="A770" s="1512"/>
      <c r="B770" s="1513"/>
      <c r="K770" s="1513"/>
      <c r="L770" s="1513"/>
      <c r="M770" s="1512"/>
      <c r="N770" s="1512"/>
      <c r="O770" s="1512"/>
    </row>
    <row r="771" spans="1:15">
      <c r="A771" s="1512"/>
      <c r="B771" s="1513"/>
      <c r="K771" s="1513"/>
      <c r="L771" s="1513"/>
      <c r="M771" s="1512"/>
      <c r="N771" s="1512"/>
      <c r="O771" s="1512"/>
    </row>
    <row r="772" spans="1:15">
      <c r="A772" s="1512"/>
      <c r="B772" s="1513"/>
      <c r="K772" s="1513"/>
      <c r="L772" s="1513"/>
      <c r="M772" s="1512"/>
      <c r="N772" s="1512"/>
      <c r="O772" s="1512"/>
    </row>
    <row r="773" spans="1:15">
      <c r="A773" s="1512"/>
      <c r="B773" s="1513"/>
      <c r="K773" s="1513"/>
      <c r="L773" s="1513"/>
      <c r="M773" s="1512"/>
      <c r="N773" s="1512"/>
      <c r="O773" s="1512"/>
    </row>
    <row r="774" spans="1:15">
      <c r="A774" s="1512"/>
      <c r="B774" s="1513"/>
      <c r="K774" s="1513"/>
      <c r="L774" s="1513"/>
      <c r="M774" s="1512"/>
      <c r="N774" s="1512"/>
      <c r="O774" s="1512"/>
    </row>
    <row r="775" spans="1:15">
      <c r="A775" s="1512"/>
      <c r="B775" s="1513"/>
      <c r="K775" s="1513"/>
      <c r="L775" s="1513"/>
      <c r="M775" s="1512"/>
      <c r="N775" s="1512"/>
      <c r="O775" s="1512"/>
    </row>
    <row r="776" spans="1:15">
      <c r="A776" s="1512"/>
      <c r="B776" s="1513"/>
      <c r="K776" s="1513"/>
      <c r="L776" s="1513"/>
      <c r="M776" s="1512"/>
      <c r="N776" s="1512"/>
      <c r="O776" s="1512"/>
    </row>
    <row r="777" spans="1:15">
      <c r="A777" s="1512"/>
      <c r="B777" s="1513"/>
      <c r="K777" s="1513"/>
      <c r="L777" s="1513"/>
      <c r="M777" s="1512"/>
      <c r="N777" s="1512"/>
      <c r="O777" s="1512"/>
    </row>
    <row r="778" spans="1:15">
      <c r="A778" s="1512"/>
      <c r="B778" s="1513"/>
      <c r="K778" s="1513"/>
      <c r="L778" s="1513"/>
      <c r="M778" s="1512"/>
      <c r="N778" s="1512"/>
      <c r="O778" s="1512"/>
    </row>
    <row r="779" spans="1:15">
      <c r="A779" s="1512"/>
      <c r="B779" s="1513"/>
      <c r="K779" s="1513"/>
      <c r="L779" s="1513"/>
      <c r="M779" s="1512"/>
      <c r="N779" s="1512"/>
      <c r="O779" s="1512"/>
    </row>
    <row r="780" spans="1:15">
      <c r="A780" s="1512"/>
      <c r="B780" s="1513"/>
      <c r="K780" s="1513"/>
      <c r="L780" s="1513"/>
      <c r="M780" s="1512"/>
      <c r="N780" s="1512"/>
      <c r="O780" s="1512"/>
    </row>
    <row r="781" spans="1:15">
      <c r="A781" s="1512"/>
      <c r="B781" s="1513"/>
      <c r="K781" s="1513"/>
      <c r="L781" s="1513"/>
      <c r="M781" s="1512"/>
      <c r="N781" s="1512"/>
      <c r="O781" s="1512"/>
    </row>
    <row r="782" spans="1:15">
      <c r="A782" s="1512"/>
      <c r="B782" s="1513"/>
      <c r="K782" s="1513"/>
      <c r="L782" s="1513"/>
      <c r="M782" s="1512"/>
      <c r="N782" s="1512"/>
      <c r="O782" s="1512"/>
    </row>
    <row r="783" spans="1:15">
      <c r="A783" s="1512"/>
      <c r="B783" s="1513"/>
      <c r="K783" s="1513"/>
      <c r="L783" s="1513"/>
      <c r="M783" s="1512"/>
      <c r="N783" s="1512"/>
      <c r="O783" s="1512"/>
    </row>
    <row r="784" spans="1:15">
      <c r="A784" s="1512"/>
      <c r="B784" s="1513"/>
      <c r="K784" s="1513"/>
      <c r="L784" s="1513"/>
      <c r="M784" s="1512"/>
      <c r="N784" s="1512"/>
      <c r="O784" s="1512"/>
    </row>
    <row r="785" spans="1:15">
      <c r="A785" s="1512"/>
      <c r="B785" s="1513"/>
      <c r="K785" s="1513"/>
      <c r="L785" s="1513"/>
      <c r="M785" s="1512"/>
      <c r="N785" s="1512"/>
      <c r="O785" s="1512"/>
    </row>
    <row r="786" spans="1:15">
      <c r="A786" s="1512"/>
      <c r="B786" s="1513"/>
      <c r="K786" s="1513"/>
      <c r="L786" s="1513"/>
      <c r="M786" s="1512"/>
      <c r="N786" s="1512"/>
      <c r="O786" s="1512"/>
    </row>
    <row r="787" spans="1:15">
      <c r="A787" s="1512"/>
      <c r="B787" s="1513"/>
      <c r="K787" s="1513"/>
      <c r="L787" s="1513"/>
      <c r="M787" s="1512"/>
      <c r="N787" s="1512"/>
      <c r="O787" s="1512"/>
    </row>
    <row r="788" spans="1:15">
      <c r="A788" s="1512"/>
      <c r="B788" s="1513"/>
      <c r="K788" s="1513"/>
      <c r="L788" s="1513"/>
      <c r="M788" s="1512"/>
      <c r="N788" s="1512"/>
      <c r="O788" s="1512"/>
    </row>
    <row r="789" spans="1:15">
      <c r="A789" s="1512"/>
      <c r="B789" s="1513"/>
      <c r="K789" s="1513"/>
      <c r="L789" s="1513"/>
      <c r="M789" s="1512"/>
      <c r="N789" s="1512"/>
      <c r="O789" s="1512"/>
    </row>
    <row r="790" spans="1:15">
      <c r="A790" s="1512"/>
      <c r="B790" s="1513"/>
      <c r="K790" s="1513"/>
      <c r="L790" s="1513"/>
      <c r="M790" s="1512"/>
      <c r="N790" s="1512"/>
      <c r="O790" s="1512"/>
    </row>
    <row r="791" spans="1:15">
      <c r="A791" s="1512"/>
      <c r="B791" s="1513"/>
      <c r="K791" s="1513"/>
      <c r="L791" s="1513"/>
      <c r="M791" s="1512"/>
      <c r="N791" s="1512"/>
      <c r="O791" s="1512"/>
    </row>
    <row r="792" spans="1:15">
      <c r="A792" s="1512"/>
      <c r="B792" s="1513"/>
      <c r="K792" s="1513"/>
      <c r="L792" s="1513"/>
      <c r="M792" s="1512"/>
      <c r="N792" s="1512"/>
      <c r="O792" s="1512"/>
    </row>
    <row r="793" spans="1:15">
      <c r="A793" s="1512"/>
      <c r="B793" s="1513"/>
      <c r="K793" s="1513"/>
      <c r="L793" s="1513"/>
      <c r="M793" s="1512"/>
      <c r="N793" s="1512"/>
      <c r="O793" s="1512"/>
    </row>
    <row r="794" spans="1:15">
      <c r="A794" s="1512"/>
      <c r="B794" s="1513"/>
      <c r="K794" s="1513"/>
      <c r="L794" s="1513"/>
      <c r="M794" s="1512"/>
      <c r="N794" s="1512"/>
      <c r="O794" s="1512"/>
    </row>
    <row r="795" spans="1:15">
      <c r="A795" s="1512"/>
      <c r="B795" s="1513"/>
      <c r="K795" s="1513"/>
      <c r="L795" s="1513"/>
      <c r="M795" s="1512"/>
      <c r="N795" s="1512"/>
      <c r="O795" s="1512"/>
    </row>
    <row r="796" spans="1:15">
      <c r="A796" s="1512"/>
      <c r="B796" s="1513"/>
      <c r="K796" s="1513"/>
      <c r="L796" s="1513"/>
      <c r="M796" s="1512"/>
      <c r="N796" s="1512"/>
      <c r="O796" s="1512"/>
    </row>
    <row r="797" spans="1:15">
      <c r="A797" s="1512"/>
      <c r="B797" s="1513"/>
      <c r="K797" s="1513"/>
      <c r="L797" s="1513"/>
      <c r="M797" s="1512"/>
      <c r="N797" s="1512"/>
      <c r="O797" s="1512"/>
    </row>
    <row r="798" spans="1:15">
      <c r="A798" s="1512"/>
      <c r="B798" s="1513"/>
      <c r="K798" s="1513"/>
      <c r="L798" s="1513"/>
      <c r="M798" s="1512"/>
      <c r="N798" s="1512"/>
      <c r="O798" s="1512"/>
    </row>
    <row r="799" spans="1:15">
      <c r="A799" s="1512"/>
      <c r="B799" s="1513"/>
      <c r="K799" s="1513"/>
      <c r="L799" s="1513"/>
      <c r="M799" s="1512"/>
      <c r="N799" s="1512"/>
      <c r="O799" s="1512"/>
    </row>
    <row r="800" spans="1:15">
      <c r="A800" s="1512"/>
      <c r="B800" s="1513"/>
      <c r="K800" s="1513"/>
      <c r="L800" s="1513"/>
      <c r="M800" s="1512"/>
      <c r="N800" s="1512"/>
      <c r="O800" s="1512"/>
    </row>
    <row r="801" spans="1:15">
      <c r="A801" s="1512"/>
      <c r="B801" s="1513"/>
      <c r="K801" s="1513"/>
      <c r="L801" s="1513"/>
      <c r="M801" s="1512"/>
      <c r="N801" s="1512"/>
      <c r="O801" s="1512"/>
    </row>
    <row r="802" spans="1:15">
      <c r="A802" s="1512"/>
      <c r="B802" s="1513"/>
      <c r="K802" s="1513"/>
      <c r="L802" s="1513"/>
      <c r="M802" s="1512"/>
      <c r="N802" s="1512"/>
      <c r="O802" s="1512"/>
    </row>
    <row r="803" spans="1:15">
      <c r="A803" s="1512"/>
      <c r="B803" s="1513"/>
      <c r="K803" s="1513"/>
      <c r="L803" s="1513"/>
      <c r="M803" s="1512"/>
      <c r="N803" s="1512"/>
      <c r="O803" s="1512"/>
    </row>
    <row r="804" spans="1:15">
      <c r="A804" s="1512"/>
      <c r="B804" s="1513"/>
      <c r="K804" s="1513"/>
      <c r="L804" s="1513"/>
      <c r="M804" s="1512"/>
      <c r="N804" s="1512"/>
      <c r="O804" s="1512"/>
    </row>
    <row r="805" spans="1:15">
      <c r="A805" s="1512"/>
      <c r="B805" s="1513"/>
      <c r="K805" s="1513"/>
      <c r="L805" s="1513"/>
      <c r="M805" s="1512"/>
      <c r="N805" s="1512"/>
      <c r="O805" s="1512"/>
    </row>
    <row r="806" spans="1:15">
      <c r="A806" s="1512"/>
      <c r="B806" s="1513"/>
      <c r="K806" s="1513"/>
      <c r="L806" s="1513"/>
      <c r="M806" s="1512"/>
      <c r="N806" s="1512"/>
      <c r="O806" s="1512"/>
    </row>
    <row r="807" spans="1:15">
      <c r="A807" s="1512"/>
      <c r="B807" s="1513"/>
      <c r="K807" s="1513"/>
      <c r="L807" s="1513"/>
      <c r="M807" s="1512"/>
      <c r="N807" s="1512"/>
      <c r="O807" s="1512"/>
    </row>
    <row r="808" spans="1:15">
      <c r="A808" s="1512"/>
      <c r="B808" s="1513"/>
      <c r="K808" s="1513"/>
      <c r="L808" s="1513"/>
      <c r="M808" s="1512"/>
      <c r="N808" s="1512"/>
      <c r="O808" s="1512"/>
    </row>
    <row r="809" spans="1:15">
      <c r="A809" s="1512"/>
      <c r="B809" s="1513"/>
      <c r="K809" s="1513"/>
      <c r="L809" s="1513"/>
      <c r="M809" s="1512"/>
      <c r="N809" s="1512"/>
      <c r="O809" s="1512"/>
    </row>
    <row r="810" spans="1:15">
      <c r="A810" s="1512"/>
      <c r="B810" s="1513"/>
      <c r="K810" s="1513"/>
      <c r="L810" s="1513"/>
      <c r="M810" s="1512"/>
      <c r="N810" s="1512"/>
      <c r="O810" s="1512"/>
    </row>
    <row r="811" spans="1:15">
      <c r="A811" s="1512"/>
      <c r="B811" s="1513"/>
      <c r="K811" s="1513"/>
      <c r="L811" s="1513"/>
      <c r="M811" s="1512"/>
      <c r="N811" s="1512"/>
      <c r="O811" s="1512"/>
    </row>
    <row r="812" spans="1:15">
      <c r="A812" s="1512"/>
      <c r="B812" s="1513"/>
      <c r="K812" s="1513"/>
      <c r="L812" s="1513"/>
      <c r="M812" s="1512"/>
      <c r="N812" s="1512"/>
      <c r="O812" s="1512"/>
    </row>
    <row r="813" spans="1:15">
      <c r="A813" s="1512"/>
      <c r="B813" s="1513"/>
      <c r="K813" s="1513"/>
      <c r="L813" s="1513"/>
      <c r="M813" s="1512"/>
      <c r="N813" s="1512"/>
      <c r="O813" s="1512"/>
    </row>
    <row r="814" spans="1:15">
      <c r="A814" s="1512"/>
      <c r="B814" s="1513"/>
      <c r="K814" s="1513"/>
      <c r="L814" s="1513"/>
      <c r="M814" s="1512"/>
      <c r="N814" s="1512"/>
      <c r="O814" s="1512"/>
    </row>
    <row r="815" spans="1:15">
      <c r="A815" s="1512"/>
      <c r="B815" s="1513"/>
      <c r="K815" s="1513"/>
      <c r="L815" s="1513"/>
      <c r="M815" s="1512"/>
      <c r="N815" s="1512"/>
      <c r="O815" s="1512"/>
    </row>
    <row r="816" spans="1:15">
      <c r="A816" s="1512"/>
      <c r="B816" s="1513"/>
      <c r="K816" s="1513"/>
      <c r="L816" s="1513"/>
      <c r="M816" s="1512"/>
      <c r="N816" s="1512"/>
      <c r="O816" s="1512"/>
    </row>
    <row r="817" spans="1:15">
      <c r="A817" s="1512"/>
      <c r="B817" s="1513"/>
      <c r="K817" s="1513"/>
      <c r="L817" s="1513"/>
      <c r="M817" s="1512"/>
      <c r="N817" s="1512"/>
      <c r="O817" s="1512"/>
    </row>
    <row r="818" spans="1:15">
      <c r="A818" s="1512"/>
      <c r="B818" s="1513"/>
      <c r="K818" s="1513"/>
      <c r="L818" s="1513"/>
      <c r="M818" s="1512"/>
      <c r="N818" s="1512"/>
      <c r="O818" s="1512"/>
    </row>
    <row r="819" spans="1:15">
      <c r="A819" s="1512"/>
      <c r="B819" s="1513"/>
      <c r="K819" s="1513"/>
      <c r="L819" s="1513"/>
      <c r="M819" s="1512"/>
      <c r="N819" s="1512"/>
      <c r="O819" s="1512"/>
    </row>
    <row r="820" spans="1:15">
      <c r="A820" s="1512"/>
      <c r="B820" s="1513"/>
      <c r="K820" s="1513"/>
      <c r="L820" s="1513"/>
      <c r="M820" s="1512"/>
      <c r="N820" s="1512"/>
      <c r="O820" s="1512"/>
    </row>
    <row r="821" spans="1:15">
      <c r="A821" s="1512"/>
      <c r="B821" s="1513"/>
      <c r="K821" s="1513"/>
      <c r="L821" s="1513"/>
      <c r="M821" s="1512"/>
      <c r="N821" s="1512"/>
      <c r="O821" s="1512"/>
    </row>
    <row r="822" spans="1:15">
      <c r="A822" s="1512"/>
      <c r="B822" s="1513"/>
      <c r="K822" s="1513"/>
      <c r="L822" s="1513"/>
      <c r="M822" s="1512"/>
      <c r="N822" s="1512"/>
      <c r="O822" s="1512"/>
    </row>
    <row r="823" spans="1:15">
      <c r="A823" s="1512"/>
      <c r="B823" s="1513"/>
      <c r="K823" s="1513"/>
      <c r="L823" s="1513"/>
      <c r="M823" s="1512"/>
      <c r="N823" s="1512"/>
      <c r="O823" s="1512"/>
    </row>
    <row r="824" spans="1:15">
      <c r="A824" s="1512"/>
      <c r="B824" s="1513"/>
      <c r="K824" s="1513"/>
      <c r="L824" s="1513"/>
      <c r="M824" s="1512"/>
      <c r="N824" s="1512"/>
      <c r="O824" s="1512"/>
    </row>
    <row r="825" spans="1:15">
      <c r="A825" s="1512"/>
      <c r="B825" s="1513"/>
      <c r="K825" s="1513"/>
      <c r="L825" s="1513"/>
      <c r="M825" s="1512"/>
      <c r="N825" s="1512"/>
      <c r="O825" s="1512"/>
    </row>
    <row r="826" spans="1:15">
      <c r="A826" s="1512"/>
      <c r="B826" s="1513"/>
      <c r="K826" s="1513"/>
      <c r="L826" s="1513"/>
      <c r="M826" s="1512"/>
      <c r="N826" s="1512"/>
      <c r="O826" s="1512"/>
    </row>
    <row r="827" spans="1:15">
      <c r="A827" s="1512"/>
      <c r="B827" s="1513"/>
      <c r="K827" s="1513"/>
      <c r="L827" s="1513"/>
      <c r="M827" s="1512"/>
      <c r="N827" s="1512"/>
      <c r="O827" s="1512"/>
    </row>
    <row r="828" spans="1:15">
      <c r="A828" s="1512"/>
      <c r="B828" s="1513"/>
      <c r="K828" s="1513"/>
      <c r="L828" s="1513"/>
      <c r="M828" s="1512"/>
      <c r="N828" s="1512"/>
      <c r="O828" s="1512"/>
    </row>
    <row r="829" spans="1:15">
      <c r="A829" s="1512"/>
      <c r="B829" s="1513"/>
      <c r="K829" s="1513"/>
      <c r="L829" s="1513"/>
      <c r="M829" s="1512"/>
      <c r="N829" s="1512"/>
      <c r="O829" s="1512"/>
    </row>
    <row r="830" spans="1:15">
      <c r="A830" s="1512"/>
      <c r="B830" s="1513"/>
      <c r="K830" s="1513"/>
      <c r="L830" s="1513"/>
      <c r="M830" s="1512"/>
      <c r="N830" s="1512"/>
      <c r="O830" s="1512"/>
    </row>
    <row r="831" spans="1:15">
      <c r="A831" s="1512"/>
      <c r="B831" s="1513"/>
      <c r="K831" s="1513"/>
      <c r="L831" s="1513"/>
      <c r="M831" s="1512"/>
      <c r="N831" s="1512"/>
      <c r="O831" s="1512"/>
    </row>
    <row r="832" spans="1:15">
      <c r="A832" s="1512"/>
      <c r="B832" s="1513"/>
      <c r="K832" s="1513"/>
      <c r="L832" s="1513"/>
      <c r="M832" s="1512"/>
      <c r="N832" s="1512"/>
      <c r="O832" s="1512"/>
    </row>
    <row r="833" spans="1:15">
      <c r="A833" s="1512"/>
      <c r="B833" s="1513"/>
      <c r="K833" s="1513"/>
      <c r="L833" s="1513"/>
      <c r="M833" s="1512"/>
      <c r="N833" s="1512"/>
      <c r="O833" s="1512"/>
    </row>
    <row r="834" spans="1:15">
      <c r="A834" s="1512"/>
      <c r="B834" s="1513"/>
      <c r="K834" s="1513"/>
      <c r="L834" s="1513"/>
      <c r="M834" s="1512"/>
      <c r="N834" s="1512"/>
      <c r="O834" s="1512"/>
    </row>
    <row r="835" spans="1:15">
      <c r="A835" s="1512"/>
      <c r="B835" s="1513"/>
      <c r="K835" s="1513"/>
      <c r="L835" s="1513"/>
      <c r="M835" s="1512"/>
      <c r="N835" s="1512"/>
      <c r="O835" s="1512"/>
    </row>
    <row r="836" spans="1:15">
      <c r="A836" s="1512"/>
      <c r="B836" s="1513"/>
      <c r="K836" s="1513"/>
      <c r="L836" s="1513"/>
      <c r="M836" s="1512"/>
      <c r="N836" s="1512"/>
      <c r="O836" s="1512"/>
    </row>
    <row r="837" spans="1:15">
      <c r="A837" s="1512"/>
      <c r="B837" s="1513"/>
      <c r="K837" s="1513"/>
      <c r="L837" s="1513"/>
      <c r="M837" s="1512"/>
      <c r="N837" s="1512"/>
      <c r="O837" s="1512"/>
    </row>
    <row r="838" spans="1:15">
      <c r="A838" s="1512"/>
      <c r="B838" s="1513"/>
      <c r="K838" s="1513"/>
      <c r="L838" s="1513"/>
      <c r="M838" s="1512"/>
      <c r="N838" s="1512"/>
      <c r="O838" s="1512"/>
    </row>
    <row r="839" spans="1:15">
      <c r="A839" s="1512"/>
      <c r="B839" s="1513"/>
      <c r="K839" s="1513"/>
      <c r="L839" s="1513"/>
      <c r="M839" s="1512"/>
      <c r="N839" s="1512"/>
      <c r="O839" s="1512"/>
    </row>
    <row r="840" spans="1:15">
      <c r="A840" s="1512"/>
      <c r="B840" s="1513"/>
      <c r="K840" s="1513"/>
      <c r="L840" s="1513"/>
      <c r="M840" s="1512"/>
      <c r="N840" s="1512"/>
      <c r="O840" s="1512"/>
    </row>
    <row r="841" spans="1:15">
      <c r="A841" s="1512"/>
      <c r="B841" s="1513"/>
      <c r="K841" s="1513"/>
      <c r="L841" s="1513"/>
      <c r="M841" s="1512"/>
      <c r="N841" s="1512"/>
      <c r="O841" s="1512"/>
    </row>
    <row r="842" spans="1:15">
      <c r="A842" s="1512"/>
      <c r="B842" s="1513"/>
      <c r="K842" s="1513"/>
      <c r="L842" s="1513"/>
      <c r="M842" s="1512"/>
      <c r="N842" s="1512"/>
      <c r="O842" s="1512"/>
    </row>
    <row r="843" spans="1:15">
      <c r="A843" s="1512"/>
      <c r="B843" s="1513"/>
      <c r="K843" s="1513"/>
      <c r="L843" s="1513"/>
      <c r="M843" s="1512"/>
      <c r="N843" s="1512"/>
      <c r="O843" s="1512"/>
    </row>
    <row r="844" spans="1:15">
      <c r="A844" s="1512"/>
      <c r="B844" s="1513"/>
      <c r="K844" s="1513"/>
      <c r="L844" s="1513"/>
      <c r="M844" s="1512"/>
      <c r="N844" s="1512"/>
      <c r="O844" s="1512"/>
    </row>
    <row r="845" spans="1:15">
      <c r="A845" s="1512"/>
      <c r="B845" s="1513"/>
      <c r="K845" s="1513"/>
      <c r="L845" s="1513"/>
      <c r="M845" s="1512"/>
      <c r="N845" s="1512"/>
      <c r="O845" s="1512"/>
    </row>
    <row r="846" spans="1:15">
      <c r="A846" s="1512"/>
      <c r="B846" s="1513"/>
      <c r="K846" s="1513"/>
      <c r="L846" s="1513"/>
      <c r="M846" s="1512"/>
      <c r="N846" s="1512"/>
      <c r="O846" s="1512"/>
    </row>
    <row r="847" spans="1:15">
      <c r="A847" s="1512"/>
      <c r="B847" s="1513"/>
      <c r="K847" s="1513"/>
      <c r="L847" s="1513"/>
      <c r="M847" s="1512"/>
      <c r="N847" s="1512"/>
      <c r="O847" s="1512"/>
    </row>
    <row r="848" spans="1:15">
      <c r="A848" s="1512"/>
      <c r="B848" s="1513"/>
      <c r="K848" s="1513"/>
      <c r="L848" s="1513"/>
      <c r="M848" s="1512"/>
      <c r="N848" s="1512"/>
      <c r="O848" s="1512"/>
    </row>
    <row r="849" spans="1:15">
      <c r="A849" s="1512"/>
      <c r="B849" s="1513"/>
      <c r="K849" s="1513"/>
      <c r="L849" s="1513"/>
      <c r="M849" s="1512"/>
      <c r="N849" s="1512"/>
      <c r="O849" s="1512"/>
    </row>
    <row r="850" spans="1:15">
      <c r="A850" s="1512"/>
      <c r="B850" s="1513"/>
      <c r="K850" s="1513"/>
      <c r="L850" s="1513"/>
      <c r="M850" s="1512"/>
      <c r="N850" s="1512"/>
      <c r="O850" s="1512"/>
    </row>
    <row r="851" spans="1:15">
      <c r="A851" s="1512"/>
      <c r="B851" s="1513"/>
      <c r="K851" s="1513"/>
      <c r="L851" s="1513"/>
      <c r="M851" s="1512"/>
      <c r="N851" s="1512"/>
      <c r="O851" s="1512"/>
    </row>
    <row r="852" spans="1:15">
      <c r="A852" s="1512"/>
      <c r="B852" s="1513"/>
      <c r="K852" s="1513"/>
      <c r="L852" s="1513"/>
      <c r="M852" s="1512"/>
      <c r="N852" s="1512"/>
      <c r="O852" s="1512"/>
    </row>
    <row r="853" spans="1:15">
      <c r="A853" s="1512"/>
      <c r="B853" s="1513"/>
      <c r="K853" s="1513"/>
      <c r="L853" s="1513"/>
      <c r="M853" s="1512"/>
      <c r="N853" s="1512"/>
      <c r="O853" s="1512"/>
    </row>
    <row r="854" spans="1:15">
      <c r="A854" s="1512"/>
      <c r="B854" s="1513"/>
      <c r="K854" s="1513"/>
      <c r="L854" s="1513"/>
      <c r="M854" s="1512"/>
      <c r="N854" s="1512"/>
      <c r="O854" s="1512"/>
    </row>
    <row r="855" spans="1:15">
      <c r="A855" s="1512"/>
      <c r="B855" s="1513"/>
      <c r="K855" s="1513"/>
      <c r="L855" s="1513"/>
      <c r="M855" s="1512"/>
      <c r="N855" s="1512"/>
      <c r="O855" s="1512"/>
    </row>
    <row r="856" spans="1:15">
      <c r="A856" s="1512"/>
      <c r="B856" s="1513"/>
      <c r="K856" s="1513"/>
      <c r="L856" s="1513"/>
      <c r="M856" s="1512"/>
      <c r="N856" s="1512"/>
      <c r="O856" s="1512"/>
    </row>
    <row r="857" spans="1:15">
      <c r="A857" s="1512"/>
      <c r="B857" s="1513"/>
      <c r="K857" s="1513"/>
      <c r="L857" s="1513"/>
      <c r="M857" s="1512"/>
      <c r="N857" s="1512"/>
      <c r="O857" s="1512"/>
    </row>
    <row r="858" spans="1:15">
      <c r="A858" s="1512"/>
      <c r="B858" s="1513"/>
      <c r="K858" s="1513"/>
      <c r="L858" s="1513"/>
      <c r="M858" s="1512"/>
      <c r="N858" s="1512"/>
      <c r="O858" s="1512"/>
    </row>
    <row r="859" spans="1:15">
      <c r="A859" s="1512"/>
      <c r="B859" s="1513"/>
      <c r="K859" s="1513"/>
      <c r="L859" s="1513"/>
      <c r="M859" s="1512"/>
      <c r="N859" s="1512"/>
      <c r="O859" s="1512"/>
    </row>
    <row r="860" spans="1:15">
      <c r="A860" s="1512"/>
      <c r="B860" s="1513"/>
      <c r="K860" s="1513"/>
      <c r="L860" s="1513"/>
      <c r="M860" s="1512"/>
      <c r="N860" s="1512"/>
      <c r="O860" s="1512"/>
    </row>
    <row r="861" spans="1:15">
      <c r="A861" s="1512"/>
      <c r="B861" s="1513"/>
      <c r="K861" s="1513"/>
      <c r="L861" s="1513"/>
      <c r="M861" s="1512"/>
      <c r="N861" s="1512"/>
      <c r="O861" s="1512"/>
    </row>
    <row r="862" spans="1:15">
      <c r="A862" s="1512"/>
      <c r="B862" s="1513"/>
      <c r="K862" s="1513"/>
      <c r="L862" s="1513"/>
      <c r="M862" s="1512"/>
      <c r="N862" s="1512"/>
      <c r="O862" s="1512"/>
    </row>
    <row r="863" spans="1:15">
      <c r="A863" s="1512"/>
      <c r="B863" s="1513"/>
      <c r="K863" s="1513"/>
      <c r="L863" s="1513"/>
      <c r="M863" s="1512"/>
      <c r="N863" s="1512"/>
      <c r="O863" s="1512"/>
    </row>
    <row r="864" spans="1:15">
      <c r="A864" s="1512"/>
      <c r="B864" s="1513"/>
      <c r="K864" s="1513"/>
      <c r="L864" s="1513"/>
      <c r="M864" s="1512"/>
      <c r="N864" s="1512"/>
      <c r="O864" s="1512"/>
    </row>
    <row r="865" spans="1:15">
      <c r="A865" s="1512"/>
      <c r="B865" s="1513"/>
      <c r="K865" s="1513"/>
      <c r="L865" s="1513"/>
      <c r="M865" s="1512"/>
      <c r="N865" s="1512"/>
      <c r="O865" s="1512"/>
    </row>
    <row r="866" spans="1:15">
      <c r="A866" s="1512"/>
      <c r="B866" s="1513"/>
      <c r="K866" s="1513"/>
      <c r="L866" s="1513"/>
      <c r="M866" s="1512"/>
      <c r="N866" s="1512"/>
      <c r="O866" s="1512"/>
    </row>
    <row r="867" spans="1:15">
      <c r="A867" s="1512"/>
      <c r="B867" s="1513"/>
      <c r="K867" s="1513"/>
      <c r="L867" s="1513"/>
      <c r="M867" s="1512"/>
      <c r="N867" s="1512"/>
      <c r="O867" s="1512"/>
    </row>
    <row r="868" spans="1:15">
      <c r="A868" s="1512"/>
      <c r="B868" s="1513"/>
      <c r="K868" s="1513"/>
      <c r="L868" s="1513"/>
      <c r="M868" s="1512"/>
      <c r="N868" s="1512"/>
      <c r="O868" s="1512"/>
    </row>
    <row r="869" spans="1:15">
      <c r="A869" s="1512"/>
      <c r="B869" s="1513"/>
      <c r="K869" s="1513"/>
      <c r="L869" s="1513"/>
      <c r="M869" s="1512"/>
      <c r="N869" s="1512"/>
      <c r="O869" s="1512"/>
    </row>
    <row r="870" spans="1:15">
      <c r="A870" s="1512"/>
      <c r="B870" s="1513"/>
      <c r="K870" s="1513"/>
      <c r="L870" s="1513"/>
      <c r="M870" s="1512"/>
      <c r="N870" s="1512"/>
      <c r="O870" s="1512"/>
    </row>
    <row r="871" spans="1:15">
      <c r="A871" s="1512"/>
      <c r="B871" s="1513"/>
      <c r="K871" s="1513"/>
      <c r="L871" s="1513"/>
      <c r="M871" s="1512"/>
      <c r="N871" s="1512"/>
      <c r="O871" s="1512"/>
    </row>
    <row r="872" spans="1:15">
      <c r="A872" s="1512"/>
      <c r="B872" s="1513"/>
      <c r="K872" s="1513"/>
      <c r="L872" s="1513"/>
      <c r="M872" s="1512"/>
      <c r="N872" s="1512"/>
      <c r="O872" s="1512"/>
    </row>
    <row r="873" spans="1:15">
      <c r="A873" s="1512"/>
      <c r="B873" s="1513"/>
      <c r="K873" s="1513"/>
      <c r="L873" s="1513"/>
      <c r="M873" s="1512"/>
      <c r="N873" s="1512"/>
      <c r="O873" s="1512"/>
    </row>
    <row r="874" spans="1:15">
      <c r="A874" s="1512"/>
      <c r="B874" s="1513"/>
      <c r="K874" s="1513"/>
      <c r="L874" s="1513"/>
      <c r="M874" s="1512"/>
      <c r="N874" s="1512"/>
      <c r="O874" s="1512"/>
    </row>
    <row r="875" spans="1:15">
      <c r="A875" s="1512"/>
      <c r="B875" s="1513"/>
      <c r="K875" s="1513"/>
      <c r="L875" s="1513"/>
      <c r="M875" s="1512"/>
      <c r="N875" s="1512"/>
      <c r="O875" s="1512"/>
    </row>
    <row r="876" spans="1:15">
      <c r="A876" s="1512"/>
      <c r="B876" s="1513"/>
      <c r="K876" s="1513"/>
      <c r="L876" s="1513"/>
      <c r="M876" s="1512"/>
      <c r="N876" s="1512"/>
      <c r="O876" s="1512"/>
    </row>
    <row r="877" spans="1:15">
      <c r="A877" s="1512"/>
      <c r="B877" s="1513"/>
      <c r="K877" s="1513"/>
      <c r="L877" s="1513"/>
      <c r="M877" s="1512"/>
      <c r="N877" s="1512"/>
      <c r="O877" s="1512"/>
    </row>
    <row r="878" spans="1:15">
      <c r="A878" s="1512"/>
      <c r="B878" s="1513"/>
      <c r="K878" s="1513"/>
      <c r="L878" s="1513"/>
      <c r="M878" s="1512"/>
      <c r="N878" s="1512"/>
      <c r="O878" s="1512"/>
    </row>
    <row r="879" spans="1:15">
      <c r="A879" s="1512"/>
      <c r="B879" s="1513"/>
      <c r="K879" s="1513"/>
      <c r="L879" s="1513"/>
      <c r="M879" s="1512"/>
      <c r="N879" s="1512"/>
      <c r="O879" s="1512"/>
    </row>
    <row r="880" spans="1:15">
      <c r="A880" s="1512"/>
      <c r="B880" s="1513"/>
      <c r="K880" s="1513"/>
      <c r="L880" s="1513"/>
      <c r="M880" s="1512"/>
      <c r="N880" s="1512"/>
      <c r="O880" s="1512"/>
    </row>
    <row r="881" spans="1:15">
      <c r="A881" s="1512"/>
      <c r="B881" s="1513"/>
      <c r="K881" s="1513"/>
      <c r="L881" s="1513"/>
      <c r="M881" s="1512"/>
      <c r="N881" s="1512"/>
      <c r="O881" s="1512"/>
    </row>
    <row r="882" spans="1:15">
      <c r="A882" s="1512"/>
      <c r="B882" s="1513"/>
      <c r="K882" s="1513"/>
      <c r="L882" s="1513"/>
      <c r="M882" s="1512"/>
      <c r="N882" s="1512"/>
      <c r="O882" s="1512"/>
    </row>
    <row r="883" spans="1:15">
      <c r="A883" s="1512"/>
      <c r="B883" s="1513"/>
      <c r="K883" s="1513"/>
      <c r="L883" s="1513"/>
      <c r="M883" s="1512"/>
      <c r="N883" s="1512"/>
      <c r="O883" s="1512"/>
    </row>
    <row r="884" spans="1:15">
      <c r="A884" s="1512"/>
      <c r="B884" s="1513"/>
      <c r="K884" s="1513"/>
      <c r="L884" s="1513"/>
      <c r="M884" s="1512"/>
      <c r="N884" s="1512"/>
      <c r="O884" s="1512"/>
    </row>
    <row r="885" spans="1:15">
      <c r="A885" s="1512"/>
      <c r="B885" s="1513"/>
      <c r="K885" s="1513"/>
      <c r="L885" s="1513"/>
      <c r="M885" s="1512"/>
      <c r="N885" s="1512"/>
      <c r="O885" s="1512"/>
    </row>
    <row r="886" spans="1:15">
      <c r="A886" s="1512"/>
      <c r="B886" s="1513"/>
      <c r="K886" s="1513"/>
      <c r="L886" s="1513"/>
      <c r="M886" s="1512"/>
      <c r="N886" s="1512"/>
      <c r="O886" s="1512"/>
    </row>
    <row r="887" spans="1:15">
      <c r="A887" s="1512"/>
      <c r="B887" s="1513"/>
      <c r="K887" s="1513"/>
      <c r="L887" s="1513"/>
      <c r="M887" s="1512"/>
      <c r="N887" s="1512"/>
      <c r="O887" s="1512"/>
    </row>
    <row r="888" spans="1:15">
      <c r="A888" s="1512"/>
      <c r="B888" s="1513"/>
      <c r="K888" s="1513"/>
      <c r="L888" s="1513"/>
      <c r="M888" s="1512"/>
      <c r="N888" s="1512"/>
      <c r="O888" s="1512"/>
    </row>
    <row r="889" spans="1:15">
      <c r="A889" s="1512"/>
      <c r="B889" s="1513"/>
      <c r="K889" s="1513"/>
      <c r="L889" s="1513"/>
      <c r="M889" s="1512"/>
      <c r="N889" s="1512"/>
      <c r="O889" s="1512"/>
    </row>
    <row r="890" spans="1:15">
      <c r="A890" s="1512"/>
      <c r="B890" s="1513"/>
      <c r="K890" s="1513"/>
      <c r="L890" s="1513"/>
      <c r="M890" s="1512"/>
      <c r="N890" s="1512"/>
      <c r="O890" s="1512"/>
    </row>
    <row r="891" spans="1:15">
      <c r="A891" s="1512"/>
      <c r="B891" s="1513"/>
      <c r="K891" s="1513"/>
      <c r="L891" s="1513"/>
      <c r="M891" s="1512"/>
      <c r="N891" s="1512"/>
      <c r="O891" s="1512"/>
    </row>
    <row r="892" spans="1:15">
      <c r="A892" s="1512"/>
      <c r="B892" s="1513"/>
      <c r="K892" s="1513"/>
      <c r="L892" s="1513"/>
      <c r="M892" s="1512"/>
      <c r="N892" s="1512"/>
      <c r="O892" s="1512"/>
    </row>
    <row r="893" spans="1:15">
      <c r="A893" s="1512"/>
      <c r="B893" s="1513"/>
      <c r="K893" s="1513"/>
      <c r="L893" s="1513"/>
      <c r="M893" s="1512"/>
      <c r="N893" s="1512"/>
      <c r="O893" s="1512"/>
    </row>
    <row r="894" spans="1:15">
      <c r="A894" s="1512"/>
      <c r="B894" s="1513"/>
      <c r="K894" s="1513"/>
      <c r="L894" s="1513"/>
      <c r="M894" s="1512"/>
      <c r="N894" s="1512"/>
      <c r="O894" s="1512"/>
    </row>
    <row r="895" spans="1:15">
      <c r="A895" s="1512"/>
      <c r="B895" s="1513"/>
      <c r="K895" s="1513"/>
      <c r="L895" s="1513"/>
      <c r="M895" s="1512"/>
      <c r="N895" s="1512"/>
      <c r="O895" s="1512"/>
    </row>
    <row r="896" spans="1:15">
      <c r="A896" s="1512"/>
      <c r="B896" s="1513"/>
      <c r="K896" s="1513"/>
      <c r="L896" s="1513"/>
      <c r="M896" s="1512"/>
      <c r="N896" s="1512"/>
      <c r="O896" s="1512"/>
    </row>
    <row r="897" spans="1:15">
      <c r="A897" s="1512"/>
      <c r="B897" s="1513"/>
      <c r="K897" s="1513"/>
      <c r="L897" s="1513"/>
      <c r="M897" s="1512"/>
      <c r="N897" s="1512"/>
      <c r="O897" s="1512"/>
    </row>
    <row r="898" spans="1:15">
      <c r="A898" s="1512"/>
      <c r="B898" s="1513"/>
      <c r="K898" s="1513"/>
      <c r="L898" s="1513"/>
      <c r="M898" s="1512"/>
      <c r="N898" s="1512"/>
      <c r="O898" s="1512"/>
    </row>
    <row r="899" spans="1:15">
      <c r="A899" s="1512"/>
      <c r="B899" s="1513"/>
      <c r="K899" s="1513"/>
      <c r="L899" s="1513"/>
      <c r="M899" s="1512"/>
      <c r="N899" s="1512"/>
      <c r="O899" s="1512"/>
    </row>
    <row r="900" spans="1:15">
      <c r="A900" s="1512"/>
      <c r="B900" s="1513"/>
      <c r="K900" s="1513"/>
      <c r="L900" s="1513"/>
      <c r="M900" s="1512"/>
      <c r="N900" s="1512"/>
      <c r="O900" s="1512"/>
    </row>
    <row r="901" spans="1:15">
      <c r="A901" s="1512"/>
      <c r="B901" s="1513"/>
      <c r="K901" s="1513"/>
      <c r="L901" s="1513"/>
      <c r="M901" s="1512"/>
      <c r="N901" s="1512"/>
      <c r="O901" s="1512"/>
    </row>
    <row r="902" spans="1:15">
      <c r="A902" s="1512"/>
      <c r="B902" s="1513"/>
      <c r="K902" s="1513"/>
      <c r="L902" s="1513"/>
      <c r="M902" s="1512"/>
      <c r="N902" s="1512"/>
      <c r="O902" s="1512"/>
    </row>
    <row r="903" spans="1:15">
      <c r="A903" s="1512"/>
      <c r="B903" s="1513"/>
      <c r="K903" s="1513"/>
      <c r="L903" s="1513"/>
      <c r="M903" s="1512"/>
      <c r="N903" s="1512"/>
      <c r="O903" s="1512"/>
    </row>
    <row r="904" spans="1:15">
      <c r="A904" s="1512"/>
      <c r="B904" s="1513"/>
      <c r="K904" s="1513"/>
      <c r="L904" s="1513"/>
      <c r="M904" s="1512"/>
      <c r="N904" s="1512"/>
      <c r="O904" s="1512"/>
    </row>
    <row r="905" spans="1:15">
      <c r="A905" s="1512"/>
      <c r="B905" s="1513"/>
      <c r="K905" s="1513"/>
      <c r="L905" s="1513"/>
      <c r="M905" s="1512"/>
      <c r="N905" s="1512"/>
      <c r="O905" s="1512"/>
    </row>
    <row r="906" spans="1:15">
      <c r="A906" s="1512"/>
      <c r="B906" s="1513"/>
      <c r="K906" s="1513"/>
      <c r="L906" s="1513"/>
      <c r="M906" s="1512"/>
      <c r="N906" s="1512"/>
      <c r="O906" s="1512"/>
    </row>
    <row r="907" spans="1:15">
      <c r="A907" s="1512"/>
      <c r="B907" s="1513"/>
      <c r="K907" s="1513"/>
      <c r="L907" s="1513"/>
      <c r="M907" s="1512"/>
      <c r="N907" s="1512"/>
      <c r="O907" s="1512"/>
    </row>
    <row r="908" spans="1:15">
      <c r="A908" s="1512"/>
      <c r="B908" s="1513"/>
      <c r="K908" s="1513"/>
      <c r="L908" s="1513"/>
      <c r="M908" s="1512"/>
      <c r="N908" s="1512"/>
      <c r="O908" s="1512"/>
    </row>
    <row r="909" spans="1:15">
      <c r="A909" s="1512"/>
      <c r="B909" s="1513"/>
      <c r="K909" s="1513"/>
      <c r="L909" s="1513"/>
      <c r="M909" s="1512"/>
      <c r="N909" s="1512"/>
      <c r="O909" s="1512"/>
    </row>
    <row r="910" spans="1:15">
      <c r="A910" s="1512"/>
      <c r="B910" s="1513"/>
      <c r="K910" s="1513"/>
      <c r="L910" s="1513"/>
      <c r="M910" s="1512"/>
      <c r="N910" s="1512"/>
      <c r="O910" s="1512"/>
    </row>
    <row r="911" spans="1:15">
      <c r="A911" s="1512"/>
      <c r="B911" s="1513"/>
      <c r="K911" s="1513"/>
      <c r="L911" s="1513"/>
      <c r="M911" s="1512"/>
      <c r="N911" s="1512"/>
      <c r="O911" s="1512"/>
    </row>
    <row r="912" spans="1:15">
      <c r="A912" s="1512"/>
      <c r="B912" s="1513"/>
      <c r="K912" s="1513"/>
      <c r="L912" s="1513"/>
      <c r="M912" s="1512"/>
      <c r="N912" s="1512"/>
      <c r="O912" s="1512"/>
    </row>
    <row r="913" spans="1:15">
      <c r="A913" s="1512"/>
      <c r="B913" s="1513"/>
      <c r="K913" s="1513"/>
      <c r="L913" s="1513"/>
      <c r="M913" s="1512"/>
      <c r="N913" s="1512"/>
      <c r="O913" s="1512"/>
    </row>
    <row r="914" spans="1:15">
      <c r="A914" s="1512"/>
      <c r="B914" s="1513"/>
      <c r="K914" s="1513"/>
      <c r="L914" s="1513"/>
      <c r="M914" s="1512"/>
      <c r="N914" s="1512"/>
      <c r="O914" s="1512"/>
    </row>
    <row r="915" spans="1:15">
      <c r="A915" s="1512"/>
      <c r="B915" s="1513"/>
      <c r="K915" s="1513"/>
      <c r="L915" s="1513"/>
      <c r="M915" s="1512"/>
      <c r="N915" s="1512"/>
      <c r="O915" s="1512"/>
    </row>
    <row r="916" spans="1:15">
      <c r="A916" s="1512"/>
      <c r="B916" s="1513"/>
      <c r="K916" s="1513"/>
      <c r="L916" s="1513"/>
      <c r="M916" s="1512"/>
      <c r="N916" s="1512"/>
      <c r="O916" s="1512"/>
    </row>
    <row r="917" spans="1:15">
      <c r="A917" s="1512"/>
      <c r="B917" s="1513"/>
      <c r="K917" s="1513"/>
      <c r="L917" s="1513"/>
      <c r="M917" s="1512"/>
      <c r="N917" s="1512"/>
      <c r="O917" s="1512"/>
    </row>
    <row r="918" spans="1:15">
      <c r="A918" s="1512"/>
      <c r="B918" s="1513"/>
      <c r="K918" s="1513"/>
      <c r="L918" s="1513"/>
      <c r="M918" s="1512"/>
      <c r="N918" s="1512"/>
      <c r="O918" s="1512"/>
    </row>
    <row r="919" spans="1:15">
      <c r="A919" s="1512"/>
      <c r="B919" s="1513"/>
      <c r="K919" s="1513"/>
      <c r="L919" s="1513"/>
      <c r="M919" s="1512"/>
      <c r="N919" s="1512"/>
      <c r="O919" s="1512"/>
    </row>
    <row r="920" spans="1:15">
      <c r="A920" s="1512"/>
      <c r="B920" s="1513"/>
      <c r="K920" s="1513"/>
      <c r="L920" s="1513"/>
      <c r="M920" s="1512"/>
      <c r="N920" s="1512"/>
      <c r="O920" s="1512"/>
    </row>
    <row r="921" spans="1:15">
      <c r="A921" s="1512"/>
      <c r="B921" s="1513"/>
      <c r="K921" s="1513"/>
      <c r="L921" s="1513"/>
      <c r="M921" s="1512"/>
      <c r="N921" s="1512"/>
      <c r="O921" s="1512"/>
    </row>
    <row r="922" spans="1:15">
      <c r="A922" s="1512"/>
      <c r="B922" s="1513"/>
      <c r="K922" s="1513"/>
      <c r="L922" s="1513"/>
      <c r="M922" s="1512"/>
      <c r="N922" s="1512"/>
      <c r="O922" s="1512"/>
    </row>
    <row r="923" spans="1:15">
      <c r="A923" s="1512"/>
      <c r="B923" s="1513"/>
      <c r="K923" s="1513"/>
      <c r="L923" s="1513"/>
      <c r="M923" s="1512"/>
      <c r="N923" s="1512"/>
      <c r="O923" s="1512"/>
    </row>
    <row r="924" spans="1:15">
      <c r="A924" s="1512"/>
      <c r="B924" s="1513"/>
      <c r="K924" s="1513"/>
      <c r="L924" s="1513"/>
      <c r="M924" s="1512"/>
      <c r="N924" s="1512"/>
      <c r="O924" s="1512"/>
    </row>
    <row r="925" spans="1:15">
      <c r="A925" s="1512"/>
      <c r="B925" s="1513"/>
      <c r="K925" s="1513"/>
      <c r="L925" s="1513"/>
      <c r="M925" s="1512"/>
      <c r="N925" s="1512"/>
      <c r="O925" s="1512"/>
    </row>
    <row r="926" spans="1:15">
      <c r="A926" s="1512"/>
      <c r="B926" s="1513"/>
      <c r="K926" s="1513"/>
      <c r="L926" s="1513"/>
      <c r="M926" s="1512"/>
      <c r="N926" s="1512"/>
      <c r="O926" s="1512"/>
    </row>
    <row r="927" spans="1:15">
      <c r="A927" s="1512"/>
      <c r="B927" s="1513"/>
      <c r="K927" s="1513"/>
      <c r="L927" s="1513"/>
      <c r="M927" s="1512"/>
      <c r="N927" s="1512"/>
      <c r="O927" s="1512"/>
    </row>
    <row r="928" spans="1:15">
      <c r="A928" s="1512"/>
      <c r="B928" s="1513"/>
      <c r="K928" s="1513"/>
      <c r="L928" s="1513"/>
      <c r="M928" s="1512"/>
      <c r="N928" s="1512"/>
      <c r="O928" s="1512"/>
    </row>
    <row r="929" spans="1:15">
      <c r="A929" s="1512"/>
      <c r="B929" s="1513"/>
      <c r="K929" s="1513"/>
      <c r="L929" s="1513"/>
      <c r="M929" s="1512"/>
      <c r="N929" s="1512"/>
      <c r="O929" s="1512"/>
    </row>
    <row r="930" spans="1:15">
      <c r="A930" s="1512"/>
      <c r="B930" s="1513"/>
      <c r="K930" s="1513"/>
      <c r="L930" s="1513"/>
      <c r="M930" s="1512"/>
      <c r="N930" s="1512"/>
      <c r="O930" s="1512"/>
    </row>
    <row r="931" spans="1:15">
      <c r="A931" s="1512"/>
      <c r="B931" s="1513"/>
      <c r="K931" s="1513"/>
      <c r="L931" s="1513"/>
      <c r="M931" s="1512"/>
      <c r="N931" s="1512"/>
      <c r="O931" s="1512"/>
    </row>
    <row r="932" spans="1:15">
      <c r="A932" s="1512"/>
      <c r="B932" s="1513"/>
      <c r="K932" s="1513"/>
      <c r="L932" s="1513"/>
      <c r="M932" s="1512"/>
      <c r="N932" s="1512"/>
      <c r="O932" s="1512"/>
    </row>
    <row r="933" spans="1:15">
      <c r="A933" s="1512"/>
      <c r="B933" s="1513"/>
      <c r="K933" s="1513"/>
      <c r="L933" s="1513"/>
      <c r="M933" s="1512"/>
      <c r="N933" s="1512"/>
      <c r="O933" s="1512"/>
    </row>
    <row r="934" spans="1:15">
      <c r="A934" s="1512"/>
      <c r="B934" s="1513"/>
      <c r="K934" s="1513"/>
      <c r="L934" s="1513"/>
      <c r="M934" s="1512"/>
      <c r="N934" s="1512"/>
      <c r="O934" s="1512"/>
    </row>
    <row r="935" spans="1:15">
      <c r="A935" s="1512"/>
      <c r="B935" s="1513"/>
      <c r="K935" s="1513"/>
      <c r="L935" s="1513"/>
      <c r="M935" s="1512"/>
      <c r="N935" s="1512"/>
      <c r="O935" s="1512"/>
    </row>
    <row r="936" spans="1:15">
      <c r="A936" s="1512"/>
      <c r="B936" s="1513"/>
      <c r="K936" s="1513"/>
      <c r="L936" s="1513"/>
      <c r="M936" s="1512"/>
      <c r="N936" s="1512"/>
      <c r="O936" s="1512"/>
    </row>
    <row r="937" spans="1:15">
      <c r="A937" s="1512"/>
      <c r="B937" s="1513"/>
      <c r="K937" s="1513"/>
      <c r="L937" s="1513"/>
      <c r="M937" s="1512"/>
      <c r="N937" s="1512"/>
      <c r="O937" s="1512"/>
    </row>
    <row r="938" spans="1:15">
      <c r="A938" s="1512"/>
      <c r="B938" s="1513"/>
      <c r="K938" s="1513"/>
      <c r="L938" s="1513"/>
      <c r="M938" s="1512"/>
      <c r="N938" s="1512"/>
      <c r="O938" s="1512"/>
    </row>
    <row r="939" spans="1:15">
      <c r="A939" s="1512"/>
      <c r="B939" s="1513"/>
      <c r="K939" s="1513"/>
      <c r="L939" s="1513"/>
      <c r="M939" s="1512"/>
      <c r="N939" s="1512"/>
      <c r="O939" s="1512"/>
    </row>
    <row r="940" spans="1:15">
      <c r="A940" s="1512"/>
      <c r="B940" s="1513"/>
      <c r="K940" s="1513"/>
      <c r="L940" s="1513"/>
      <c r="M940" s="1512"/>
      <c r="N940" s="1512"/>
      <c r="O940" s="1512"/>
    </row>
    <row r="941" spans="1:15">
      <c r="A941" s="1512"/>
      <c r="B941" s="1513"/>
      <c r="K941" s="1513"/>
      <c r="L941" s="1513"/>
      <c r="M941" s="1512"/>
      <c r="N941" s="1512"/>
      <c r="O941" s="1512"/>
    </row>
    <row r="942" spans="1:15">
      <c r="A942" s="1512"/>
      <c r="B942" s="1513"/>
      <c r="K942" s="1513"/>
      <c r="L942" s="1513"/>
      <c r="M942" s="1512"/>
      <c r="N942" s="1512"/>
      <c r="O942" s="1512"/>
    </row>
    <row r="943" spans="1:15">
      <c r="A943" s="1512"/>
      <c r="B943" s="1513"/>
      <c r="K943" s="1513"/>
      <c r="L943" s="1513"/>
      <c r="M943" s="1512"/>
      <c r="N943" s="1512"/>
      <c r="O943" s="1512"/>
    </row>
    <row r="944" spans="1:15">
      <c r="A944" s="1512"/>
      <c r="B944" s="1513"/>
      <c r="K944" s="1513"/>
      <c r="L944" s="1513"/>
      <c r="M944" s="1512"/>
      <c r="N944" s="1512"/>
      <c r="O944" s="1512"/>
    </row>
    <row r="945" spans="1:15">
      <c r="A945" s="1512"/>
      <c r="B945" s="1513"/>
      <c r="K945" s="1513"/>
      <c r="L945" s="1513"/>
      <c r="M945" s="1512"/>
      <c r="N945" s="1512"/>
      <c r="O945" s="1512"/>
    </row>
    <row r="946" spans="1:15">
      <c r="A946" s="1512"/>
      <c r="B946" s="1513"/>
      <c r="K946" s="1513"/>
      <c r="L946" s="1513"/>
      <c r="M946" s="1512"/>
      <c r="N946" s="1512"/>
      <c r="O946" s="1512"/>
    </row>
    <row r="947" spans="1:15">
      <c r="A947" s="1512"/>
      <c r="B947" s="1513"/>
      <c r="K947" s="1513"/>
      <c r="L947" s="1513"/>
      <c r="M947" s="1512"/>
      <c r="N947" s="1512"/>
      <c r="O947" s="1512"/>
    </row>
    <row r="948" spans="1:15">
      <c r="A948" s="1512"/>
      <c r="B948" s="1513"/>
      <c r="K948" s="1513"/>
      <c r="L948" s="1513"/>
      <c r="M948" s="1512"/>
      <c r="N948" s="1512"/>
      <c r="O948" s="1512"/>
    </row>
    <row r="949" spans="1:15">
      <c r="A949" s="1512"/>
      <c r="B949" s="1513"/>
      <c r="K949" s="1513"/>
      <c r="L949" s="1513"/>
      <c r="M949" s="1512"/>
      <c r="N949" s="1512"/>
      <c r="O949" s="1512"/>
    </row>
    <row r="950" spans="1:15">
      <c r="A950" s="1512"/>
      <c r="B950" s="1513"/>
      <c r="K950" s="1513"/>
      <c r="L950" s="1513"/>
      <c r="M950" s="1512"/>
      <c r="N950" s="1512"/>
      <c r="O950" s="1512"/>
    </row>
    <row r="951" spans="1:15">
      <c r="A951" s="1512"/>
      <c r="B951" s="1513"/>
      <c r="K951" s="1513"/>
      <c r="L951" s="1513"/>
      <c r="M951" s="1512"/>
      <c r="N951" s="1512"/>
      <c r="O951" s="1512"/>
    </row>
    <row r="952" spans="1:15">
      <c r="A952" s="1512"/>
      <c r="B952" s="1513"/>
      <c r="K952" s="1513"/>
      <c r="L952" s="1513"/>
      <c r="M952" s="1512"/>
      <c r="N952" s="1512"/>
      <c r="O952" s="1512"/>
    </row>
    <row r="953" spans="1:15">
      <c r="A953" s="1512"/>
      <c r="B953" s="1513"/>
      <c r="K953" s="1513"/>
      <c r="L953" s="1513"/>
      <c r="M953" s="1512"/>
      <c r="N953" s="1512"/>
      <c r="O953" s="1512"/>
    </row>
    <row r="954" spans="1:15">
      <c r="A954" s="1512"/>
      <c r="B954" s="1513"/>
      <c r="K954" s="1513"/>
      <c r="L954" s="1513"/>
      <c r="M954" s="1512"/>
      <c r="N954" s="1512"/>
      <c r="O954" s="1512"/>
    </row>
    <row r="955" spans="1:15">
      <c r="A955" s="1512"/>
      <c r="B955" s="1513"/>
      <c r="K955" s="1513"/>
      <c r="L955" s="1513"/>
      <c r="M955" s="1512"/>
      <c r="N955" s="1512"/>
      <c r="O955" s="1512"/>
    </row>
    <row r="956" spans="1:15">
      <c r="A956" s="1512"/>
      <c r="B956" s="1513"/>
      <c r="K956" s="1513"/>
      <c r="L956" s="1513"/>
      <c r="M956" s="1512"/>
      <c r="N956" s="1512"/>
      <c r="O956" s="1512"/>
    </row>
    <row r="957" spans="1:15">
      <c r="A957" s="1512"/>
      <c r="B957" s="1513"/>
      <c r="K957" s="1513"/>
      <c r="L957" s="1513"/>
      <c r="M957" s="1512"/>
      <c r="N957" s="1512"/>
      <c r="O957" s="1512"/>
    </row>
    <row r="958" spans="1:15">
      <c r="A958" s="1512"/>
      <c r="B958" s="1513"/>
      <c r="K958" s="1513"/>
      <c r="L958" s="1513"/>
      <c r="M958" s="1512"/>
      <c r="N958" s="1512"/>
      <c r="O958" s="1512"/>
    </row>
    <row r="959" spans="1:15">
      <c r="A959" s="1512"/>
      <c r="B959" s="1513"/>
      <c r="K959" s="1513"/>
      <c r="L959" s="1513"/>
      <c r="M959" s="1512"/>
      <c r="N959" s="1512"/>
      <c r="O959" s="1512"/>
    </row>
    <row r="960" spans="1:15">
      <c r="A960" s="1512"/>
      <c r="B960" s="1513"/>
      <c r="K960" s="1513"/>
      <c r="L960" s="1513"/>
      <c r="M960" s="1512"/>
      <c r="N960" s="1512"/>
      <c r="O960" s="1512"/>
    </row>
    <row r="961" spans="1:15">
      <c r="A961" s="1512"/>
      <c r="B961" s="1513"/>
      <c r="K961" s="1513"/>
      <c r="L961" s="1513"/>
      <c r="M961" s="1512"/>
      <c r="N961" s="1512"/>
      <c r="O961" s="1512"/>
    </row>
    <row r="962" spans="1:15">
      <c r="A962" s="1512"/>
      <c r="B962" s="1513"/>
      <c r="K962" s="1513"/>
      <c r="L962" s="1513"/>
      <c r="M962" s="1512"/>
      <c r="N962" s="1512"/>
      <c r="O962" s="1512"/>
    </row>
    <row r="963" spans="1:15">
      <c r="A963" s="1512"/>
      <c r="B963" s="1513"/>
      <c r="K963" s="1513"/>
      <c r="L963" s="1513"/>
      <c r="M963" s="1512"/>
      <c r="N963" s="1512"/>
      <c r="O963" s="1512"/>
    </row>
    <row r="964" spans="1:15">
      <c r="A964" s="1512"/>
      <c r="B964" s="1513"/>
      <c r="K964" s="1513"/>
      <c r="L964" s="1513"/>
      <c r="M964" s="1512"/>
      <c r="N964" s="1512"/>
      <c r="O964" s="1512"/>
    </row>
    <row r="965" spans="1:15">
      <c r="A965" s="1512"/>
      <c r="B965" s="1513"/>
      <c r="K965" s="1513"/>
      <c r="L965" s="1513"/>
      <c r="M965" s="1512"/>
      <c r="N965" s="1512"/>
      <c r="O965" s="1512"/>
    </row>
    <row r="966" spans="1:15">
      <c r="A966" s="1512"/>
      <c r="B966" s="1513"/>
      <c r="K966" s="1513"/>
      <c r="L966" s="1513"/>
      <c r="M966" s="1512"/>
      <c r="N966" s="1512"/>
      <c r="O966" s="1512"/>
    </row>
    <row r="967" spans="1:15">
      <c r="A967" s="1512"/>
      <c r="B967" s="1513"/>
      <c r="K967" s="1513"/>
      <c r="L967" s="1513"/>
      <c r="M967" s="1512"/>
      <c r="N967" s="1512"/>
      <c r="O967" s="1512"/>
    </row>
    <row r="968" spans="1:15">
      <c r="A968" s="1512"/>
      <c r="B968" s="1513"/>
      <c r="K968" s="1513"/>
      <c r="L968" s="1513"/>
      <c r="M968" s="1512"/>
      <c r="N968" s="1512"/>
      <c r="O968" s="1512"/>
    </row>
    <row r="969" spans="1:15">
      <c r="A969" s="1512"/>
      <c r="B969" s="1513"/>
      <c r="K969" s="1513"/>
      <c r="L969" s="1513"/>
      <c r="M969" s="1512"/>
      <c r="N969" s="1512"/>
      <c r="O969" s="1512"/>
    </row>
    <row r="970" spans="1:15">
      <c r="A970" s="1512"/>
      <c r="B970" s="1513"/>
      <c r="K970" s="1513"/>
      <c r="L970" s="1513"/>
      <c r="M970" s="1512"/>
      <c r="N970" s="1512"/>
      <c r="O970" s="1512"/>
    </row>
    <row r="971" spans="1:15">
      <c r="A971" s="1512"/>
      <c r="B971" s="1513"/>
      <c r="K971" s="1513"/>
      <c r="L971" s="1513"/>
      <c r="M971" s="1512"/>
      <c r="N971" s="1512"/>
      <c r="O971" s="1512"/>
    </row>
    <row r="972" spans="1:15">
      <c r="A972" s="1512"/>
      <c r="B972" s="1513"/>
      <c r="K972" s="1513"/>
      <c r="L972" s="1513"/>
      <c r="M972" s="1512"/>
      <c r="N972" s="1512"/>
      <c r="O972" s="1512"/>
    </row>
    <row r="973" spans="1:15">
      <c r="A973" s="1512"/>
      <c r="B973" s="1513"/>
      <c r="K973" s="1513"/>
      <c r="L973" s="1513"/>
      <c r="M973" s="1512"/>
      <c r="N973" s="1512"/>
      <c r="O973" s="1512"/>
    </row>
    <row r="974" spans="1:15">
      <c r="A974" s="1512"/>
      <c r="B974" s="1513"/>
      <c r="K974" s="1513"/>
      <c r="L974" s="1513"/>
      <c r="M974" s="1512"/>
      <c r="N974" s="1512"/>
      <c r="O974" s="1512"/>
    </row>
    <row r="975" spans="1:15">
      <c r="A975" s="1512"/>
      <c r="B975" s="1513"/>
      <c r="K975" s="1513"/>
      <c r="L975" s="1513"/>
      <c r="M975" s="1512"/>
      <c r="N975" s="1512"/>
      <c r="O975" s="1512"/>
    </row>
    <row r="976" spans="1:15">
      <c r="A976" s="1512"/>
      <c r="B976" s="1513"/>
      <c r="K976" s="1513"/>
      <c r="L976" s="1513"/>
      <c r="M976" s="1512"/>
      <c r="N976" s="1512"/>
      <c r="O976" s="1512"/>
    </row>
    <row r="977" spans="1:15">
      <c r="A977" s="1512"/>
      <c r="B977" s="1513"/>
      <c r="K977" s="1513"/>
      <c r="L977" s="1513"/>
      <c r="M977" s="1512"/>
      <c r="N977" s="1512"/>
      <c r="O977" s="1512"/>
    </row>
    <row r="978" spans="1:15">
      <c r="A978" s="1512"/>
      <c r="B978" s="1513"/>
      <c r="K978" s="1513"/>
      <c r="L978" s="1513"/>
      <c r="M978" s="1512"/>
      <c r="N978" s="1512"/>
      <c r="O978" s="1512"/>
    </row>
    <row r="979" spans="1:15">
      <c r="A979" s="1512"/>
      <c r="B979" s="1513"/>
      <c r="K979" s="1513"/>
      <c r="L979" s="1513"/>
      <c r="M979" s="1512"/>
      <c r="N979" s="1512"/>
      <c r="O979" s="1512"/>
    </row>
    <row r="980" spans="1:15">
      <c r="A980" s="1512"/>
      <c r="B980" s="1513"/>
      <c r="K980" s="1513"/>
      <c r="L980" s="1513"/>
      <c r="M980" s="1512"/>
      <c r="N980" s="1512"/>
      <c r="O980" s="1512"/>
    </row>
    <row r="981" spans="1:15">
      <c r="A981" s="1512"/>
      <c r="B981" s="1513"/>
      <c r="K981" s="1513"/>
      <c r="L981" s="1513"/>
      <c r="M981" s="1512"/>
      <c r="N981" s="1512"/>
      <c r="O981" s="1512"/>
    </row>
    <row r="982" spans="1:15">
      <c r="A982" s="1512"/>
      <c r="B982" s="1513"/>
      <c r="K982" s="1513"/>
      <c r="L982" s="1513"/>
      <c r="M982" s="1512"/>
      <c r="N982" s="1512"/>
      <c r="O982" s="1512"/>
    </row>
    <row r="983" spans="1:15">
      <c r="A983" s="1512"/>
      <c r="B983" s="1513"/>
      <c r="K983" s="1513"/>
      <c r="L983" s="1513"/>
      <c r="M983" s="1512"/>
      <c r="N983" s="1512"/>
      <c r="O983" s="1512"/>
    </row>
    <row r="984" spans="1:15">
      <c r="A984" s="1512"/>
      <c r="B984" s="1513"/>
      <c r="K984" s="1513"/>
      <c r="L984" s="1513"/>
      <c r="M984" s="1512"/>
      <c r="N984" s="1512"/>
      <c r="O984" s="1512"/>
    </row>
    <row r="985" spans="1:15">
      <c r="A985" s="1512"/>
      <c r="B985" s="1513"/>
      <c r="K985" s="1513"/>
      <c r="L985" s="1513"/>
      <c r="M985" s="1512"/>
      <c r="N985" s="1512"/>
      <c r="O985" s="1512"/>
    </row>
    <row r="986" spans="1:15">
      <c r="A986" s="1512"/>
      <c r="B986" s="1513"/>
      <c r="K986" s="1513"/>
      <c r="L986" s="1513"/>
      <c r="M986" s="1512"/>
      <c r="N986" s="1512"/>
      <c r="O986" s="1512"/>
    </row>
    <row r="987" spans="1:15">
      <c r="A987" s="1512"/>
      <c r="B987" s="1513"/>
      <c r="K987" s="1513"/>
      <c r="L987" s="1513"/>
      <c r="M987" s="1512"/>
      <c r="N987" s="1512"/>
      <c r="O987" s="1512"/>
    </row>
    <row r="988" spans="1:15">
      <c r="A988" s="1512"/>
      <c r="B988" s="1513"/>
      <c r="K988" s="1513"/>
      <c r="L988" s="1513"/>
      <c r="M988" s="1512"/>
      <c r="N988" s="1512"/>
      <c r="O988" s="1512"/>
    </row>
    <row r="989" spans="1:15">
      <c r="A989" s="1512"/>
      <c r="B989" s="1513"/>
      <c r="K989" s="1513"/>
      <c r="L989" s="1513"/>
      <c r="M989" s="1512"/>
      <c r="N989" s="1512"/>
      <c r="O989" s="1512"/>
    </row>
    <row r="990" spans="1:15">
      <c r="A990" s="1512"/>
      <c r="B990" s="1513"/>
      <c r="K990" s="1513"/>
      <c r="L990" s="1513"/>
      <c r="M990" s="1512"/>
      <c r="N990" s="1512"/>
      <c r="O990" s="1512"/>
    </row>
    <row r="991" spans="1:15">
      <c r="A991" s="1512"/>
      <c r="B991" s="1513"/>
      <c r="K991" s="1513"/>
      <c r="L991" s="1513"/>
      <c r="M991" s="1512"/>
      <c r="N991" s="1512"/>
      <c r="O991" s="1512"/>
    </row>
    <row r="992" spans="1:15">
      <c r="A992" s="1512"/>
      <c r="B992" s="1513"/>
      <c r="K992" s="1513"/>
      <c r="L992" s="1513"/>
      <c r="M992" s="1512"/>
      <c r="N992" s="1512"/>
      <c r="O992" s="1512"/>
    </row>
    <row r="993" spans="1:15">
      <c r="A993" s="1512"/>
      <c r="B993" s="1513"/>
      <c r="K993" s="1513"/>
      <c r="L993" s="1513"/>
      <c r="M993" s="1512"/>
      <c r="N993" s="1512"/>
      <c r="O993" s="1512"/>
    </row>
    <row r="994" spans="1:15">
      <c r="A994" s="1512"/>
      <c r="B994" s="1513"/>
      <c r="K994" s="1513"/>
      <c r="L994" s="1513"/>
      <c r="M994" s="1512"/>
      <c r="N994" s="1512"/>
      <c r="O994" s="1512"/>
    </row>
    <row r="995" spans="1:15">
      <c r="A995" s="1512"/>
      <c r="B995" s="1513"/>
      <c r="K995" s="1513"/>
      <c r="L995" s="1513"/>
      <c r="M995" s="1512"/>
      <c r="N995" s="1512"/>
      <c r="O995" s="1512"/>
    </row>
    <row r="996" spans="1:15">
      <c r="A996" s="1512"/>
      <c r="B996" s="1513"/>
      <c r="K996" s="1513"/>
      <c r="L996" s="1513"/>
      <c r="M996" s="1512"/>
      <c r="N996" s="1512"/>
      <c r="O996" s="1512"/>
    </row>
    <row r="997" spans="1:15">
      <c r="A997" s="1512"/>
      <c r="B997" s="1513"/>
      <c r="K997" s="1513"/>
      <c r="L997" s="1513"/>
      <c r="M997" s="1512"/>
      <c r="N997" s="1512"/>
      <c r="O997" s="1512"/>
    </row>
    <row r="998" spans="1:15">
      <c r="A998" s="1512"/>
      <c r="B998" s="1513"/>
      <c r="K998" s="1513"/>
      <c r="L998" s="1513"/>
      <c r="M998" s="1512"/>
      <c r="N998" s="1512"/>
      <c r="O998" s="1512"/>
    </row>
    <row r="999" spans="1:15">
      <c r="A999" s="1512"/>
      <c r="B999" s="1513"/>
      <c r="K999" s="1513"/>
      <c r="L999" s="1513"/>
      <c r="M999" s="1512"/>
      <c r="N999" s="1512"/>
      <c r="O999" s="1512"/>
    </row>
    <row r="1000" spans="1:15">
      <c r="A1000" s="1512"/>
      <c r="B1000" s="1513"/>
      <c r="K1000" s="1513"/>
      <c r="L1000" s="1513"/>
      <c r="M1000" s="1512"/>
      <c r="N1000" s="1512"/>
      <c r="O1000" s="1512"/>
    </row>
    <row r="1001" spans="1:15">
      <c r="A1001" s="1512"/>
      <c r="B1001" s="1513"/>
      <c r="K1001" s="1513"/>
      <c r="L1001" s="1513"/>
      <c r="M1001" s="1512"/>
      <c r="N1001" s="1512"/>
      <c r="O1001" s="1512"/>
    </row>
    <row r="1002" spans="1:15">
      <c r="A1002" s="1512"/>
      <c r="B1002" s="1513"/>
      <c r="K1002" s="1513"/>
      <c r="L1002" s="1513"/>
      <c r="M1002" s="1512"/>
      <c r="N1002" s="1512"/>
      <c r="O1002" s="1512"/>
    </row>
    <row r="1003" spans="1:15">
      <c r="A1003" s="1512"/>
      <c r="B1003" s="1513"/>
      <c r="K1003" s="1513"/>
      <c r="L1003" s="1513"/>
      <c r="M1003" s="1512"/>
      <c r="N1003" s="1512"/>
      <c r="O1003" s="1512"/>
    </row>
    <row r="1004" spans="1:15">
      <c r="A1004" s="1512"/>
      <c r="B1004" s="1513"/>
      <c r="K1004" s="1513"/>
      <c r="L1004" s="1513"/>
      <c r="M1004" s="1512"/>
      <c r="N1004" s="1512"/>
      <c r="O1004" s="1512"/>
    </row>
    <row r="1005" spans="1:15">
      <c r="A1005" s="1512"/>
      <c r="B1005" s="1513"/>
      <c r="K1005" s="1513"/>
      <c r="L1005" s="1513"/>
      <c r="M1005" s="1512"/>
      <c r="N1005" s="1512"/>
      <c r="O1005" s="1512"/>
    </row>
    <row r="1006" spans="1:15">
      <c r="A1006" s="1512"/>
      <c r="B1006" s="1513"/>
      <c r="K1006" s="1513"/>
      <c r="L1006" s="1513"/>
      <c r="M1006" s="1512"/>
      <c r="N1006" s="1512"/>
      <c r="O1006" s="1512"/>
    </row>
    <row r="1007" spans="1:15">
      <c r="A1007" s="1512"/>
      <c r="B1007" s="1513"/>
      <c r="K1007" s="1513"/>
      <c r="L1007" s="1513"/>
      <c r="M1007" s="1512"/>
      <c r="N1007" s="1512"/>
      <c r="O1007" s="1512"/>
    </row>
    <row r="1008" spans="1:15">
      <c r="A1008" s="1512"/>
      <c r="B1008" s="1513"/>
      <c r="K1008" s="1513"/>
      <c r="L1008" s="1513"/>
      <c r="M1008" s="1512"/>
      <c r="N1008" s="1512"/>
      <c r="O1008" s="1512"/>
    </row>
    <row r="1009" spans="1:15">
      <c r="A1009" s="1512"/>
      <c r="B1009" s="1513"/>
      <c r="K1009" s="1513"/>
      <c r="L1009" s="1513"/>
      <c r="M1009" s="1512"/>
      <c r="N1009" s="1512"/>
      <c r="O1009" s="1512"/>
    </row>
    <row r="1010" spans="1:15">
      <c r="A1010" s="1512"/>
      <c r="B1010" s="1513"/>
      <c r="K1010" s="1513"/>
      <c r="L1010" s="1513"/>
      <c r="M1010" s="1512"/>
      <c r="N1010" s="1512"/>
      <c r="O1010" s="1512"/>
    </row>
  </sheetData>
  <mergeCells count="42">
    <mergeCell ref="A13:B13"/>
    <mergeCell ref="A14:B14"/>
    <mergeCell ref="A1:L1"/>
    <mergeCell ref="A3:B5"/>
    <mergeCell ref="K3:K5"/>
    <mergeCell ref="L3:L5"/>
    <mergeCell ref="A6:B6"/>
    <mergeCell ref="C3:C4"/>
    <mergeCell ref="A12:B12"/>
    <mergeCell ref="A7:B7"/>
    <mergeCell ref="A8:B8"/>
    <mergeCell ref="A10:B10"/>
    <mergeCell ref="A11:B11"/>
    <mergeCell ref="D3:J4"/>
    <mergeCell ref="A44:B44"/>
    <mergeCell ref="A28:B28"/>
    <mergeCell ref="A29:B29"/>
    <mergeCell ref="A30:B30"/>
    <mergeCell ref="A31:B31"/>
    <mergeCell ref="A32:B32"/>
    <mergeCell ref="A33:B33"/>
    <mergeCell ref="A34:B34"/>
    <mergeCell ref="A35:B35"/>
    <mergeCell ref="A38:B38"/>
    <mergeCell ref="A39:B39"/>
    <mergeCell ref="A43:B43"/>
    <mergeCell ref="A36:B36"/>
    <mergeCell ref="A37:B37"/>
    <mergeCell ref="A26:B26"/>
    <mergeCell ref="A23:B23"/>
    <mergeCell ref="A24:B24"/>
    <mergeCell ref="A40:B40"/>
    <mergeCell ref="A41:B41"/>
    <mergeCell ref="A27:B27"/>
    <mergeCell ref="A21:B21"/>
    <mergeCell ref="A22:B22"/>
    <mergeCell ref="A25:B25"/>
    <mergeCell ref="A16:B16"/>
    <mergeCell ref="A17:B17"/>
    <mergeCell ref="A18:B18"/>
    <mergeCell ref="A19:B19"/>
    <mergeCell ref="A20:B20"/>
  </mergeCells>
  <pageMargins left="0.35433070866141736" right="0.15748031496062992" top="0.23622047244094491" bottom="0.39370078740157483" header="0.15748031496062992" footer="0.15748031496062992"/>
  <pageSetup paperSize="9" scale="6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DZ750"/>
  <sheetViews>
    <sheetView showGridLines="0" view="pageBreakPreview" zoomScale="106" zoomScaleNormal="100" zoomScaleSheetLayoutView="106" workbookViewId="0">
      <pane xSplit="4" ySplit="7" topLeftCell="E8" activePane="bottomRight" state="frozen"/>
      <selection activeCell="J81" sqref="J81"/>
      <selection pane="topRight" activeCell="J81" sqref="J81"/>
      <selection pane="bottomLeft" activeCell="J81" sqref="J81"/>
      <selection pane="bottomRight"/>
    </sheetView>
  </sheetViews>
  <sheetFormatPr defaultColWidth="9.140625" defaultRowHeight="12.75"/>
  <cols>
    <col min="1" max="1" width="3.42578125" style="262" customWidth="1"/>
    <col min="2" max="2" width="61.42578125" style="262" customWidth="1"/>
    <col min="3" max="3" width="11" style="262" customWidth="1"/>
    <col min="4" max="5" width="13.28515625" style="262" customWidth="1"/>
    <col min="6" max="6" width="12" style="262" customWidth="1"/>
    <col min="7" max="7" width="11.7109375" style="262" customWidth="1"/>
    <col min="8" max="8" width="11.28515625" style="262" customWidth="1"/>
    <col min="9" max="9" width="11.5703125" style="262" customWidth="1"/>
    <col min="10" max="10" width="9.28515625" style="262" customWidth="1"/>
    <col min="11" max="11" width="7.85546875" style="262" customWidth="1"/>
    <col min="12" max="12" width="7" style="262" customWidth="1"/>
    <col min="13" max="14" width="12.7109375" style="262" customWidth="1"/>
    <col min="15" max="15" width="14.140625" style="262" hidden="1" customWidth="1"/>
    <col min="16" max="16" width="16" style="262" hidden="1" customWidth="1"/>
    <col min="17" max="17" width="10" style="262" customWidth="1"/>
    <col min="18" max="18" width="16.42578125" style="262" customWidth="1"/>
    <col min="19" max="16384" width="9.140625" style="262"/>
  </cols>
  <sheetData>
    <row r="1" spans="1:18" ht="15.75" customHeight="1">
      <c r="F1" s="1197"/>
      <c r="G1" s="1197"/>
      <c r="H1" s="1197"/>
      <c r="I1" s="287" t="s">
        <v>70</v>
      </c>
      <c r="J1" s="287"/>
      <c r="K1" s="287"/>
      <c r="L1" s="287"/>
      <c r="M1" s="6"/>
      <c r="N1" s="7"/>
    </row>
    <row r="2" spans="1:18" ht="15" customHeight="1"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7"/>
    </row>
    <row r="3" spans="1:18" ht="43.5" customHeight="1">
      <c r="A3" s="3215" t="s">
        <v>254</v>
      </c>
      <c r="B3" s="3215"/>
      <c r="C3" s="3215"/>
      <c r="D3" s="3215"/>
      <c r="E3" s="3215"/>
      <c r="F3" s="3215"/>
      <c r="G3" s="3215"/>
      <c r="H3" s="3215"/>
      <c r="I3" s="3215"/>
      <c r="J3" s="3215"/>
      <c r="K3" s="3215"/>
      <c r="L3" s="3215"/>
      <c r="M3" s="3215"/>
      <c r="N3" s="3215"/>
    </row>
    <row r="4" spans="1:18" ht="9.75" customHeight="1" thickBot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8" ht="75.75" customHeight="1">
      <c r="A5" s="1431"/>
      <c r="B5" s="1432"/>
      <c r="C5" s="3216" t="s">
        <v>71</v>
      </c>
      <c r="D5" s="3218" t="s">
        <v>72</v>
      </c>
      <c r="E5" s="2724" t="s">
        <v>295</v>
      </c>
      <c r="F5" s="3230" t="s">
        <v>415</v>
      </c>
      <c r="G5" s="3230"/>
      <c r="H5" s="3230"/>
      <c r="I5" s="3230"/>
      <c r="J5" s="3230"/>
      <c r="K5" s="3230"/>
      <c r="L5" s="3231"/>
      <c r="M5" s="3225" t="s">
        <v>410</v>
      </c>
      <c r="N5" s="3220" t="s">
        <v>73</v>
      </c>
    </row>
    <row r="6" spans="1:18" ht="18" customHeight="1" thickBot="1">
      <c r="A6" s="3019"/>
      <c r="B6" s="1198"/>
      <c r="C6" s="3217"/>
      <c r="D6" s="3219"/>
      <c r="E6" s="3016" t="s">
        <v>555</v>
      </c>
      <c r="F6" s="279" t="s">
        <v>5</v>
      </c>
      <c r="G6" s="279" t="s">
        <v>6</v>
      </c>
      <c r="H6" s="279" t="s">
        <v>229</v>
      </c>
      <c r="I6" s="279" t="s">
        <v>231</v>
      </c>
      <c r="J6" s="279" t="s">
        <v>286</v>
      </c>
      <c r="K6" s="279" t="s">
        <v>287</v>
      </c>
      <c r="L6" s="279" t="s">
        <v>285</v>
      </c>
      <c r="M6" s="3226"/>
      <c r="N6" s="3221"/>
      <c r="O6" s="563"/>
      <c r="P6" s="563"/>
    </row>
    <row r="7" spans="1:18" s="291" customFormat="1" ht="12.75" customHeight="1" thickBot="1">
      <c r="A7" s="8">
        <v>1</v>
      </c>
      <c r="B7" s="9">
        <v>2</v>
      </c>
      <c r="C7" s="10">
        <v>3</v>
      </c>
      <c r="D7" s="11">
        <v>4</v>
      </c>
      <c r="E7" s="13">
        <v>5</v>
      </c>
      <c r="F7" s="12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4">
        <v>13</v>
      </c>
      <c r="N7" s="15">
        <v>14</v>
      </c>
      <c r="O7" s="290"/>
      <c r="P7" s="290"/>
    </row>
    <row r="8" spans="1:18" ht="14.25" customHeight="1">
      <c r="A8" s="3222" t="s">
        <v>68</v>
      </c>
      <c r="B8" s="238" t="s">
        <v>76</v>
      </c>
      <c r="C8" s="239"/>
      <c r="D8" s="240">
        <f>+D9+D10</f>
        <v>812925188</v>
      </c>
      <c r="E8" s="240">
        <f>+E9+E10</f>
        <v>194054294</v>
      </c>
      <c r="F8" s="240">
        <f t="shared" ref="F8:G8" si="0">+F9+F10</f>
        <v>248823831</v>
      </c>
      <c r="G8" s="240">
        <f t="shared" si="0"/>
        <v>356236855</v>
      </c>
      <c r="H8" s="240">
        <f t="shared" ref="H8:L8" si="1">+H9+H10</f>
        <v>13728036</v>
      </c>
      <c r="I8" s="240">
        <f t="shared" si="1"/>
        <v>82172</v>
      </c>
      <c r="J8" s="240">
        <f t="shared" si="1"/>
        <v>0</v>
      </c>
      <c r="K8" s="240">
        <f t="shared" si="1"/>
        <v>0</v>
      </c>
      <c r="L8" s="240">
        <f t="shared" si="1"/>
        <v>0</v>
      </c>
      <c r="M8" s="16">
        <f>+M9+M10</f>
        <v>618870894</v>
      </c>
      <c r="N8" s="1199"/>
      <c r="O8" s="563"/>
    </row>
    <row r="9" spans="1:18" ht="14.25" customHeight="1">
      <c r="A9" s="3223"/>
      <c r="B9" s="241" t="s">
        <v>77</v>
      </c>
      <c r="C9" s="242"/>
      <c r="D9" s="243">
        <f>+D568+D586+D504+D519</f>
        <v>952140</v>
      </c>
      <c r="E9" s="243">
        <f>+E568+E586+E504+E519</f>
        <v>43098</v>
      </c>
      <c r="F9" s="243">
        <f t="shared" ref="F9:J9" si="2">+F568+F586+F504+F519</f>
        <v>355718</v>
      </c>
      <c r="G9" s="243">
        <f t="shared" si="2"/>
        <v>281076</v>
      </c>
      <c r="H9" s="243">
        <f t="shared" si="2"/>
        <v>190076</v>
      </c>
      <c r="I9" s="243">
        <f t="shared" si="2"/>
        <v>82172</v>
      </c>
      <c r="J9" s="243">
        <f t="shared" si="2"/>
        <v>0</v>
      </c>
      <c r="K9" s="243">
        <f t="shared" ref="K9:L9" si="3">+K568+K586+K504</f>
        <v>0</v>
      </c>
      <c r="L9" s="243">
        <f t="shared" si="3"/>
        <v>0</v>
      </c>
      <c r="M9" s="1433">
        <f>SUM(F9:L9)</f>
        <v>909042</v>
      </c>
      <c r="N9" s="1200"/>
    </row>
    <row r="10" spans="1:18" ht="14.25" customHeight="1" thickBot="1">
      <c r="A10" s="3223"/>
      <c r="B10" s="1201" t="s">
        <v>9</v>
      </c>
      <c r="C10" s="1202"/>
      <c r="D10" s="1203">
        <f>+D53+D224+D67+D81+D251+D98+D112+D267+D411+D375+D124+D133+D387+D145+D157+D168+D177+D189+D198+D239+D207+D437+D550+D399+D214+D447+D279+D291+D303+D315+D456+D468+D477+D486+D495+D327+D339+D351+D363</f>
        <v>811973048</v>
      </c>
      <c r="E10" s="1203">
        <f t="shared" ref="E10:L10" si="4">+E53+E224+E67+E81+E251+E98+E112+E267+E411+E375+E124+E133+E387+E145+E157+E168+E177+E189+E198+E239+E207+E437+E550+E399+E214+E447+E279+E291+E303+E315+E456+E468+E477+E486+E495+E327+E339+E351+E363</f>
        <v>194011196</v>
      </c>
      <c r="F10" s="1203">
        <f t="shared" si="4"/>
        <v>248468113</v>
      </c>
      <c r="G10" s="1203">
        <f t="shared" si="4"/>
        <v>355955779</v>
      </c>
      <c r="H10" s="1203">
        <f t="shared" si="4"/>
        <v>13537960</v>
      </c>
      <c r="I10" s="1203">
        <f t="shared" si="4"/>
        <v>0</v>
      </c>
      <c r="J10" s="1203">
        <f t="shared" si="4"/>
        <v>0</v>
      </c>
      <c r="K10" s="1203">
        <f t="shared" si="4"/>
        <v>0</v>
      </c>
      <c r="L10" s="1203">
        <f t="shared" si="4"/>
        <v>0</v>
      </c>
      <c r="M10" s="170">
        <f>SUM(F10:L10)</f>
        <v>617961852</v>
      </c>
      <c r="N10" s="1200"/>
    </row>
    <row r="11" spans="1:18" ht="13.5" customHeight="1">
      <c r="A11" s="3223"/>
      <c r="B11" s="19" t="s">
        <v>10</v>
      </c>
      <c r="C11" s="20"/>
      <c r="D11" s="1204">
        <f>+D12+D18</f>
        <v>812925188</v>
      </c>
      <c r="E11" s="1204">
        <f t="shared" ref="E11" si="5">+E12+E18</f>
        <v>194054294</v>
      </c>
      <c r="F11" s="1204">
        <f t="shared" ref="F11:M11" si="6">+F12+F18</f>
        <v>248823831</v>
      </c>
      <c r="G11" s="1204">
        <f t="shared" si="6"/>
        <v>356236855</v>
      </c>
      <c r="H11" s="1204">
        <f t="shared" si="6"/>
        <v>13728036</v>
      </c>
      <c r="I11" s="1204">
        <f t="shared" si="6"/>
        <v>82172</v>
      </c>
      <c r="J11" s="1204">
        <f t="shared" si="6"/>
        <v>0</v>
      </c>
      <c r="K11" s="1204">
        <f t="shared" si="6"/>
        <v>0</v>
      </c>
      <c r="L11" s="1204">
        <f t="shared" si="6"/>
        <v>0</v>
      </c>
      <c r="M11" s="1205">
        <f t="shared" si="6"/>
        <v>618870894</v>
      </c>
      <c r="N11" s="1111"/>
      <c r="O11" s="1206"/>
      <c r="P11" s="563"/>
      <c r="R11" s="563"/>
    </row>
    <row r="12" spans="1:18" s="1209" customFormat="1">
      <c r="A12" s="3223"/>
      <c r="B12" s="175" t="s">
        <v>11</v>
      </c>
      <c r="C12" s="1434"/>
      <c r="D12" s="1435">
        <f>+D13+D14+D15+D16+D17</f>
        <v>147892044</v>
      </c>
      <c r="E12" s="1435">
        <f t="shared" ref="E12" si="7">+E13+E14+E15+E16+E17</f>
        <v>34347975</v>
      </c>
      <c r="F12" s="1435">
        <f t="shared" ref="F12:L12" si="8">+F13+F14+F15+F16+F17</f>
        <v>47362682</v>
      </c>
      <c r="G12" s="1435">
        <f t="shared" si="8"/>
        <v>63786453</v>
      </c>
      <c r="H12" s="1435">
        <f t="shared" si="8"/>
        <v>2382268</v>
      </c>
      <c r="I12" s="1435">
        <f t="shared" si="8"/>
        <v>12666</v>
      </c>
      <c r="J12" s="1435">
        <f t="shared" si="8"/>
        <v>0</v>
      </c>
      <c r="K12" s="1435">
        <f t="shared" si="8"/>
        <v>0</v>
      </c>
      <c r="L12" s="1435">
        <f t="shared" si="8"/>
        <v>0</v>
      </c>
      <c r="M12" s="1436">
        <f>SUM(M13:M17)</f>
        <v>113544069</v>
      </c>
      <c r="N12" s="1207"/>
      <c r="O12" s="1208"/>
      <c r="P12" s="1206"/>
    </row>
    <row r="13" spans="1:18">
      <c r="A13" s="3223"/>
      <c r="B13" s="178" t="s">
        <v>12</v>
      </c>
      <c r="C13" s="1210"/>
      <c r="D13" s="1437">
        <f>+D37+D427+D536+D579</f>
        <v>115987668</v>
      </c>
      <c r="E13" s="1437">
        <f>+E37+E427+E536+E579</f>
        <v>12613599</v>
      </c>
      <c r="F13" s="1437">
        <f t="shared" ref="F13:L13" si="9">+F37+F427+F536+F579</f>
        <v>43234503</v>
      </c>
      <c r="G13" s="1437">
        <f t="shared" si="9"/>
        <v>57744632</v>
      </c>
      <c r="H13" s="1437">
        <f t="shared" si="9"/>
        <v>2382268</v>
      </c>
      <c r="I13" s="1437">
        <f t="shared" si="9"/>
        <v>12666</v>
      </c>
      <c r="J13" s="1437">
        <f t="shared" si="9"/>
        <v>0</v>
      </c>
      <c r="K13" s="1437">
        <f t="shared" si="9"/>
        <v>0</v>
      </c>
      <c r="L13" s="1437">
        <f t="shared" si="9"/>
        <v>0</v>
      </c>
      <c r="M13" s="1438">
        <f>SUM(F13:L13)</f>
        <v>103374069</v>
      </c>
      <c r="N13" s="1111"/>
      <c r="O13" s="563"/>
      <c r="P13" s="563"/>
      <c r="R13" s="563"/>
    </row>
    <row r="14" spans="1:18" ht="12" hidden="1" customHeight="1">
      <c r="A14" s="3223"/>
      <c r="B14" s="1439" t="s">
        <v>78</v>
      </c>
      <c r="C14" s="1440"/>
      <c r="D14" s="1437">
        <f>+D537</f>
        <v>0</v>
      </c>
      <c r="E14" s="1437">
        <f t="shared" ref="E14" si="10">+E537</f>
        <v>0</v>
      </c>
      <c r="F14" s="1437">
        <f t="shared" ref="F14:L14" si="11">+F537</f>
        <v>0</v>
      </c>
      <c r="G14" s="1437">
        <f t="shared" si="11"/>
        <v>0</v>
      </c>
      <c r="H14" s="1437">
        <f t="shared" si="11"/>
        <v>0</v>
      </c>
      <c r="I14" s="1437">
        <f t="shared" si="11"/>
        <v>0</v>
      </c>
      <c r="J14" s="1437">
        <f t="shared" si="11"/>
        <v>0</v>
      </c>
      <c r="K14" s="1437">
        <f t="shared" si="11"/>
        <v>0</v>
      </c>
      <c r="L14" s="1437">
        <f t="shared" si="11"/>
        <v>0</v>
      </c>
      <c r="M14" s="1438">
        <f>SUM(F14:L14)</f>
        <v>0</v>
      </c>
      <c r="N14" s="1213"/>
      <c r="O14" s="563"/>
    </row>
    <row r="15" spans="1:18" ht="13.5" customHeight="1">
      <c r="A15" s="3223"/>
      <c r="B15" s="178" t="s">
        <v>15</v>
      </c>
      <c r="C15" s="1210"/>
      <c r="D15" s="1437">
        <f>+D38+D428</f>
        <v>20524695</v>
      </c>
      <c r="E15" s="1437">
        <f t="shared" ref="E15" si="12">+E38+E428</f>
        <v>10354695</v>
      </c>
      <c r="F15" s="1437">
        <f t="shared" ref="F15:L15" si="13">+F38+F428</f>
        <v>4128179</v>
      </c>
      <c r="G15" s="1437">
        <f t="shared" si="13"/>
        <v>6041821</v>
      </c>
      <c r="H15" s="1437">
        <f t="shared" si="13"/>
        <v>0</v>
      </c>
      <c r="I15" s="1437">
        <f t="shared" si="13"/>
        <v>0</v>
      </c>
      <c r="J15" s="1437">
        <f t="shared" si="13"/>
        <v>0</v>
      </c>
      <c r="K15" s="1437">
        <f t="shared" si="13"/>
        <v>0</v>
      </c>
      <c r="L15" s="1437">
        <f t="shared" si="13"/>
        <v>0</v>
      </c>
      <c r="M15" s="1438">
        <f>SUM(F15:L15)</f>
        <v>10170000</v>
      </c>
      <c r="N15" s="1213"/>
      <c r="O15" s="563"/>
    </row>
    <row r="16" spans="1:18" ht="13.5" hidden="1" customHeight="1">
      <c r="A16" s="3223"/>
      <c r="B16" s="178" t="s">
        <v>52</v>
      </c>
      <c r="C16" s="1210"/>
      <c r="D16" s="1437">
        <f t="shared" ref="D16:L16" si="14">+D538+D40</f>
        <v>0</v>
      </c>
      <c r="E16" s="1437">
        <f t="shared" ref="E16" si="15">+E538+E40</f>
        <v>0</v>
      </c>
      <c r="F16" s="1437">
        <f t="shared" si="14"/>
        <v>0</v>
      </c>
      <c r="G16" s="1437">
        <f t="shared" si="14"/>
        <v>0</v>
      </c>
      <c r="H16" s="1437">
        <f t="shared" si="14"/>
        <v>0</v>
      </c>
      <c r="I16" s="1437">
        <f t="shared" si="14"/>
        <v>0</v>
      </c>
      <c r="J16" s="1437">
        <f t="shared" si="14"/>
        <v>0</v>
      </c>
      <c r="K16" s="1437">
        <f t="shared" si="14"/>
        <v>0</v>
      </c>
      <c r="L16" s="1437">
        <f t="shared" si="14"/>
        <v>0</v>
      </c>
      <c r="M16" s="1438">
        <f>SUM(F16:L16)</f>
        <v>0</v>
      </c>
      <c r="N16" s="1213"/>
      <c r="O16" s="563"/>
    </row>
    <row r="17" spans="1:18" ht="12" customHeight="1">
      <c r="A17" s="3223"/>
      <c r="B17" s="178" t="s">
        <v>17</v>
      </c>
      <c r="C17" s="1210"/>
      <c r="D17" s="1437">
        <f>+D39</f>
        <v>11379681</v>
      </c>
      <c r="E17" s="1437">
        <f t="shared" ref="E17" si="16">+E39</f>
        <v>11379681</v>
      </c>
      <c r="F17" s="1437">
        <f t="shared" ref="F17:L17" si="17">+F39</f>
        <v>0</v>
      </c>
      <c r="G17" s="1437">
        <f t="shared" si="17"/>
        <v>0</v>
      </c>
      <c r="H17" s="1437">
        <f t="shared" si="17"/>
        <v>0</v>
      </c>
      <c r="I17" s="1437">
        <f t="shared" si="17"/>
        <v>0</v>
      </c>
      <c r="J17" s="1437">
        <f t="shared" si="17"/>
        <v>0</v>
      </c>
      <c r="K17" s="1437">
        <f t="shared" si="17"/>
        <v>0</v>
      </c>
      <c r="L17" s="1437">
        <f t="shared" si="17"/>
        <v>0</v>
      </c>
      <c r="M17" s="1438">
        <f>SUM(F17:I17)</f>
        <v>0</v>
      </c>
      <c r="N17" s="1213"/>
      <c r="O17" s="563"/>
    </row>
    <row r="18" spans="1:18" s="1209" customFormat="1" ht="13.5" customHeight="1">
      <c r="A18" s="3223"/>
      <c r="B18" s="175" t="s">
        <v>18</v>
      </c>
      <c r="C18" s="1214"/>
      <c r="D18" s="1435">
        <f>+D19+D20+D21</f>
        <v>665033144</v>
      </c>
      <c r="E18" s="1435">
        <f t="shared" ref="E18" si="18">+E19+E20+E21</f>
        <v>159706319</v>
      </c>
      <c r="F18" s="1435">
        <f t="shared" ref="F18:I18" si="19">+F19+F20+F21</f>
        <v>201461149</v>
      </c>
      <c r="G18" s="1435">
        <f t="shared" si="19"/>
        <v>292450402</v>
      </c>
      <c r="H18" s="1435">
        <f t="shared" si="19"/>
        <v>11345768</v>
      </c>
      <c r="I18" s="1435">
        <f t="shared" si="19"/>
        <v>69506</v>
      </c>
      <c r="J18" s="1435">
        <f>+J19+J20+J21</f>
        <v>0</v>
      </c>
      <c r="K18" s="1435">
        <f>+K19+K20+K21</f>
        <v>0</v>
      </c>
      <c r="L18" s="1435">
        <f>+L19+L20+L21</f>
        <v>0</v>
      </c>
      <c r="M18" s="1441">
        <f>+M19+M20+M21</f>
        <v>505326825</v>
      </c>
      <c r="N18" s="1215"/>
      <c r="O18" s="1208"/>
      <c r="P18" s="1206"/>
    </row>
    <row r="19" spans="1:18" ht="13.5" customHeight="1">
      <c r="A19" s="3223"/>
      <c r="B19" s="1442" t="s">
        <v>20</v>
      </c>
      <c r="C19" s="1443"/>
      <c r="D19" s="1437">
        <f t="shared" ref="D19:L19" si="20">+D430+D581</f>
        <v>33322256</v>
      </c>
      <c r="E19" s="1437">
        <f t="shared" ref="E19" si="21">+E430+E581</f>
        <v>328572</v>
      </c>
      <c r="F19" s="1437">
        <f t="shared" si="20"/>
        <v>8035978</v>
      </c>
      <c r="G19" s="1437">
        <f t="shared" si="20"/>
        <v>18861817</v>
      </c>
      <c r="H19" s="1437">
        <f t="shared" si="20"/>
        <v>6026383</v>
      </c>
      <c r="I19" s="1437">
        <f t="shared" si="20"/>
        <v>69506</v>
      </c>
      <c r="J19" s="1437">
        <f t="shared" si="20"/>
        <v>0</v>
      </c>
      <c r="K19" s="1437">
        <f t="shared" si="20"/>
        <v>0</v>
      </c>
      <c r="L19" s="1437">
        <f t="shared" si="20"/>
        <v>0</v>
      </c>
      <c r="M19" s="1438">
        <f>SUM(F19:L19)</f>
        <v>32993684</v>
      </c>
      <c r="N19" s="1213"/>
      <c r="O19" s="563"/>
    </row>
    <row r="20" spans="1:18" ht="13.5" customHeight="1">
      <c r="A20" s="3223"/>
      <c r="B20" s="1444" t="s">
        <v>21</v>
      </c>
      <c r="C20" s="1443"/>
      <c r="D20" s="1437">
        <f t="shared" ref="D20:L20" si="22">+D42+D540</f>
        <v>631710888</v>
      </c>
      <c r="E20" s="1437">
        <f t="shared" ref="E20" si="23">+E42+E540</f>
        <v>159377747</v>
      </c>
      <c r="F20" s="1437">
        <f t="shared" si="22"/>
        <v>193425171</v>
      </c>
      <c r="G20" s="1437">
        <f t="shared" si="22"/>
        <v>273588585</v>
      </c>
      <c r="H20" s="1437">
        <f t="shared" si="22"/>
        <v>5319385</v>
      </c>
      <c r="I20" s="1437">
        <f t="shared" si="22"/>
        <v>0</v>
      </c>
      <c r="J20" s="1437">
        <f t="shared" si="22"/>
        <v>0</v>
      </c>
      <c r="K20" s="1437">
        <f t="shared" si="22"/>
        <v>0</v>
      </c>
      <c r="L20" s="1437">
        <f t="shared" si="22"/>
        <v>0</v>
      </c>
      <c r="M20" s="1438">
        <f>SUM(F20:L20)</f>
        <v>472333141</v>
      </c>
      <c r="N20" s="1111"/>
      <c r="O20" s="563"/>
      <c r="P20" s="563"/>
    </row>
    <row r="21" spans="1:18" hidden="1">
      <c r="A21" s="3223"/>
      <c r="B21" s="1444" t="s">
        <v>79</v>
      </c>
      <c r="C21" s="1443"/>
      <c r="D21" s="1437">
        <f>+D541</f>
        <v>0</v>
      </c>
      <c r="E21" s="1437">
        <f t="shared" ref="E21" si="24">+E541</f>
        <v>0</v>
      </c>
      <c r="F21" s="1437">
        <f t="shared" ref="F21:L21" si="25">+F541</f>
        <v>0</v>
      </c>
      <c r="G21" s="1437">
        <f t="shared" si="25"/>
        <v>0</v>
      </c>
      <c r="H21" s="1437">
        <f t="shared" si="25"/>
        <v>0</v>
      </c>
      <c r="I21" s="1437">
        <f t="shared" si="25"/>
        <v>0</v>
      </c>
      <c r="J21" s="1437">
        <f t="shared" si="25"/>
        <v>0</v>
      </c>
      <c r="K21" s="1437">
        <f t="shared" si="25"/>
        <v>0</v>
      </c>
      <c r="L21" s="1437">
        <f t="shared" si="25"/>
        <v>0</v>
      </c>
      <c r="M21" s="1438">
        <f>SUM(F21:I21)</f>
        <v>0</v>
      </c>
      <c r="N21" s="1111"/>
      <c r="O21" s="563"/>
      <c r="P21" s="563"/>
    </row>
    <row r="22" spans="1:18" ht="13.5" customHeight="1">
      <c r="A22" s="3223"/>
      <c r="B22" s="826" t="s">
        <v>22</v>
      </c>
      <c r="C22" s="1105"/>
      <c r="D22" s="1025">
        <f>+D23+D29</f>
        <v>696937520</v>
      </c>
      <c r="E22" s="1025">
        <f t="shared" ref="E22" si="26">+E23+E29</f>
        <v>172029251</v>
      </c>
      <c r="F22" s="1025">
        <f>+F23+F29</f>
        <v>191392846</v>
      </c>
      <c r="G22" s="1025">
        <f t="shared" ref="G22:L22" si="27">+G23+G29</f>
        <v>312779279</v>
      </c>
      <c r="H22" s="1025">
        <f t="shared" si="27"/>
        <v>17567388</v>
      </c>
      <c r="I22" s="1025">
        <f t="shared" si="27"/>
        <v>3168756</v>
      </c>
      <c r="J22" s="1025">
        <f t="shared" si="27"/>
        <v>0</v>
      </c>
      <c r="K22" s="1025">
        <f t="shared" si="27"/>
        <v>0</v>
      </c>
      <c r="L22" s="1025">
        <f t="shared" si="27"/>
        <v>0</v>
      </c>
      <c r="M22" s="3227" t="s">
        <v>23</v>
      </c>
      <c r="N22" s="1111"/>
      <c r="O22" s="563">
        <f>D89+D105+D118+D151+D162+D173+D183+D194+D231+D245+D259+D273+D285+D297+D309+D321+D381+D393+D405+D418+D452+D462+D473+D482+D491+D500+D515+D558+D573</f>
        <v>616655497</v>
      </c>
      <c r="R22" s="1206"/>
    </row>
    <row r="23" spans="1:18" ht="12" customHeight="1">
      <c r="A23" s="3223"/>
      <c r="B23" s="1445" t="s">
        <v>24</v>
      </c>
      <c r="C23" s="1446"/>
      <c r="D23" s="1447">
        <f>+D24+D25+D26+D27+D28</f>
        <v>31904376</v>
      </c>
      <c r="E23" s="1447">
        <f t="shared" ref="E23" si="28">+E24+E25+E26+E27+E28</f>
        <v>21734376</v>
      </c>
      <c r="F23" s="1447">
        <f t="shared" ref="F23:L23" si="29">+F24+F25+F26+F27+F28</f>
        <v>4128179</v>
      </c>
      <c r="G23" s="1447">
        <f t="shared" si="29"/>
        <v>6041821</v>
      </c>
      <c r="H23" s="1447">
        <f t="shared" si="29"/>
        <v>0</v>
      </c>
      <c r="I23" s="1447">
        <f t="shared" si="29"/>
        <v>0</v>
      </c>
      <c r="J23" s="1447">
        <f t="shared" si="29"/>
        <v>0</v>
      </c>
      <c r="K23" s="1447">
        <f t="shared" si="29"/>
        <v>0</v>
      </c>
      <c r="L23" s="1447">
        <f t="shared" si="29"/>
        <v>0</v>
      </c>
      <c r="M23" s="3228"/>
      <c r="N23" s="1111"/>
    </row>
    <row r="24" spans="1:18" hidden="1">
      <c r="A24" s="3223"/>
      <c r="B24" s="1439" t="s">
        <v>78</v>
      </c>
      <c r="C24" s="1217"/>
      <c r="D24" s="1448">
        <f>+D544</f>
        <v>0</v>
      </c>
      <c r="E24" s="1448">
        <f t="shared" ref="E24" si="30">+E544</f>
        <v>0</v>
      </c>
      <c r="F24" s="1448">
        <f t="shared" ref="F24:L24" si="31">+F544</f>
        <v>0</v>
      </c>
      <c r="G24" s="1448">
        <f t="shared" si="31"/>
        <v>0</v>
      </c>
      <c r="H24" s="1448">
        <f t="shared" si="31"/>
        <v>0</v>
      </c>
      <c r="I24" s="1448">
        <f t="shared" si="31"/>
        <v>0</v>
      </c>
      <c r="J24" s="1448">
        <f t="shared" si="31"/>
        <v>0</v>
      </c>
      <c r="K24" s="1448">
        <f t="shared" si="31"/>
        <v>0</v>
      </c>
      <c r="L24" s="1448">
        <f t="shared" si="31"/>
        <v>0</v>
      </c>
      <c r="M24" s="3228"/>
      <c r="N24" s="1213"/>
    </row>
    <row r="25" spans="1:18">
      <c r="A25" s="3223"/>
      <c r="B25" s="23" t="s">
        <v>15</v>
      </c>
      <c r="C25" s="24"/>
      <c r="D25" s="1437">
        <f t="shared" ref="D25:L25" si="32">+D45+D428</f>
        <v>20524695</v>
      </c>
      <c r="E25" s="1437">
        <f t="shared" ref="E25" si="33">+E45+E428</f>
        <v>10354695</v>
      </c>
      <c r="F25" s="1437">
        <f t="shared" si="32"/>
        <v>4128179</v>
      </c>
      <c r="G25" s="1437">
        <f t="shared" si="32"/>
        <v>6041821</v>
      </c>
      <c r="H25" s="1437">
        <f t="shared" si="32"/>
        <v>0</v>
      </c>
      <c r="I25" s="1437">
        <f t="shared" si="32"/>
        <v>0</v>
      </c>
      <c r="J25" s="1437">
        <f t="shared" si="32"/>
        <v>0</v>
      </c>
      <c r="K25" s="1437">
        <f t="shared" si="32"/>
        <v>0</v>
      </c>
      <c r="L25" s="1437">
        <f t="shared" si="32"/>
        <v>0</v>
      </c>
      <c r="M25" s="3228"/>
      <c r="N25" s="1213"/>
      <c r="O25" s="563">
        <f>D25-D15</f>
        <v>0</v>
      </c>
    </row>
    <row r="26" spans="1:18" ht="12" hidden="1" customHeight="1">
      <c r="A26" s="3223"/>
      <c r="B26" s="23" t="s">
        <v>52</v>
      </c>
      <c r="C26" s="24"/>
      <c r="D26" s="1437">
        <f t="shared" ref="D26:L26" si="34">+D545+D48</f>
        <v>0</v>
      </c>
      <c r="E26" s="1437">
        <f t="shared" ref="E26" si="35">+E545+E48</f>
        <v>0</v>
      </c>
      <c r="F26" s="1437">
        <f t="shared" si="34"/>
        <v>0</v>
      </c>
      <c r="G26" s="1437">
        <f t="shared" si="34"/>
        <v>0</v>
      </c>
      <c r="H26" s="1437">
        <f t="shared" si="34"/>
        <v>0</v>
      </c>
      <c r="I26" s="1437">
        <f t="shared" si="34"/>
        <v>0</v>
      </c>
      <c r="J26" s="1437">
        <f t="shared" si="34"/>
        <v>0</v>
      </c>
      <c r="K26" s="1437">
        <f t="shared" si="34"/>
        <v>0</v>
      </c>
      <c r="L26" s="1437">
        <f t="shared" si="34"/>
        <v>0</v>
      </c>
      <c r="M26" s="3228"/>
      <c r="N26" s="1213"/>
      <c r="O26" s="563">
        <f>D16-D26</f>
        <v>0</v>
      </c>
    </row>
    <row r="27" spans="1:18" ht="12" customHeight="1">
      <c r="A27" s="3223"/>
      <c r="B27" s="178" t="s">
        <v>17</v>
      </c>
      <c r="C27" s="25"/>
      <c r="D27" s="1437">
        <f>+D46</f>
        <v>11379681</v>
      </c>
      <c r="E27" s="1437">
        <f t="shared" ref="E27:E28" si="36">+E46</f>
        <v>11379681</v>
      </c>
      <c r="F27" s="1437">
        <f t="shared" ref="F27:L28" si="37">+F46</f>
        <v>0</v>
      </c>
      <c r="G27" s="1437">
        <f t="shared" si="37"/>
        <v>0</v>
      </c>
      <c r="H27" s="1437">
        <f t="shared" si="37"/>
        <v>0</v>
      </c>
      <c r="I27" s="1437">
        <f t="shared" si="37"/>
        <v>0</v>
      </c>
      <c r="J27" s="1437">
        <f t="shared" si="37"/>
        <v>0</v>
      </c>
      <c r="K27" s="1437">
        <f t="shared" si="37"/>
        <v>0</v>
      </c>
      <c r="L27" s="1437">
        <f t="shared" si="37"/>
        <v>0</v>
      </c>
      <c r="M27" s="3228"/>
      <c r="N27" s="1213"/>
      <c r="O27" s="563">
        <f>D17-D27</f>
        <v>0</v>
      </c>
    </row>
    <row r="28" spans="1:18" ht="12" hidden="1" customHeight="1">
      <c r="A28" s="3223"/>
      <c r="B28" s="178" t="s">
        <v>80</v>
      </c>
      <c r="C28" s="25"/>
      <c r="D28" s="1437">
        <f>+D47</f>
        <v>0</v>
      </c>
      <c r="E28" s="1437">
        <f t="shared" si="36"/>
        <v>0</v>
      </c>
      <c r="F28" s="1437">
        <f t="shared" si="37"/>
        <v>0</v>
      </c>
      <c r="G28" s="1437">
        <f t="shared" si="37"/>
        <v>0</v>
      </c>
      <c r="H28" s="1437">
        <f t="shared" si="37"/>
        <v>0</v>
      </c>
      <c r="I28" s="1437">
        <f t="shared" si="37"/>
        <v>0</v>
      </c>
      <c r="J28" s="1437">
        <f t="shared" si="37"/>
        <v>0</v>
      </c>
      <c r="K28" s="1437">
        <f t="shared" si="37"/>
        <v>0</v>
      </c>
      <c r="L28" s="1437">
        <f t="shared" si="37"/>
        <v>0</v>
      </c>
      <c r="M28" s="3228"/>
      <c r="N28" s="1213"/>
    </row>
    <row r="29" spans="1:18" ht="12.75" customHeight="1">
      <c r="A29" s="3223"/>
      <c r="B29" s="1449" t="s">
        <v>18</v>
      </c>
      <c r="C29" s="1450"/>
      <c r="D29" s="1447">
        <f>+D30+D31+D32+D33</f>
        <v>665033144</v>
      </c>
      <c r="E29" s="1447">
        <f t="shared" ref="E29" si="38">+E30+E31+E32+E33</f>
        <v>150294875</v>
      </c>
      <c r="F29" s="1447">
        <f>+F30+F31+F32+F33</f>
        <v>187264667</v>
      </c>
      <c r="G29" s="1447">
        <f t="shared" ref="G29:L29" si="39">+G30+G31+G32+G33</f>
        <v>306737458</v>
      </c>
      <c r="H29" s="1447">
        <f t="shared" si="39"/>
        <v>17567388</v>
      </c>
      <c r="I29" s="1447">
        <f t="shared" si="39"/>
        <v>3168756</v>
      </c>
      <c r="J29" s="1447">
        <f t="shared" si="39"/>
        <v>0</v>
      </c>
      <c r="K29" s="1447">
        <f t="shared" si="39"/>
        <v>0</v>
      </c>
      <c r="L29" s="1447">
        <f t="shared" si="39"/>
        <v>0</v>
      </c>
      <c r="M29" s="3228"/>
      <c r="N29" s="1213"/>
      <c r="O29" s="563">
        <f>D31-D19</f>
        <v>0</v>
      </c>
    </row>
    <row r="30" spans="1:18" ht="14.25" hidden="1" customHeight="1">
      <c r="A30" s="3223"/>
      <c r="B30" s="1451" t="s">
        <v>17</v>
      </c>
      <c r="C30" s="1452"/>
      <c r="D30" s="1437">
        <f>+D50</f>
        <v>0</v>
      </c>
      <c r="E30" s="1437">
        <f t="shared" ref="E30" si="40">+E50</f>
        <v>0</v>
      </c>
      <c r="F30" s="1437">
        <f t="shared" ref="F30:G30" si="41">+F50</f>
        <v>0</v>
      </c>
      <c r="G30" s="1437">
        <f t="shared" si="41"/>
        <v>0</v>
      </c>
      <c r="H30" s="1437">
        <f>+H50</f>
        <v>0</v>
      </c>
      <c r="I30" s="1437">
        <f>+I50</f>
        <v>0</v>
      </c>
      <c r="J30" s="1437">
        <f>+J50</f>
        <v>0</v>
      </c>
      <c r="K30" s="1437">
        <f>+K50</f>
        <v>0</v>
      </c>
      <c r="L30" s="1437">
        <f>+L50</f>
        <v>0</v>
      </c>
      <c r="M30" s="3228"/>
      <c r="N30" s="1213"/>
    </row>
    <row r="31" spans="1:18" ht="11.25" customHeight="1">
      <c r="A31" s="3223"/>
      <c r="B31" s="1442" t="s">
        <v>20</v>
      </c>
      <c r="C31" s="1440"/>
      <c r="D31" s="1453">
        <f t="shared" ref="D31:F31" si="42">+D435+D584</f>
        <v>33322256</v>
      </c>
      <c r="E31" s="1453">
        <f t="shared" ref="E31" si="43">+E435+E584</f>
        <v>0</v>
      </c>
      <c r="F31" s="1453">
        <f t="shared" si="42"/>
        <v>28480</v>
      </c>
      <c r="G31" s="1453">
        <f t="shared" ref="G31:L31" si="44">+G435</f>
        <v>17877017</v>
      </c>
      <c r="H31" s="1453">
        <f t="shared" si="44"/>
        <v>12248003</v>
      </c>
      <c r="I31" s="1453">
        <f t="shared" si="44"/>
        <v>3168756</v>
      </c>
      <c r="J31" s="1453">
        <f t="shared" si="44"/>
        <v>0</v>
      </c>
      <c r="K31" s="1453">
        <f t="shared" si="44"/>
        <v>0</v>
      </c>
      <c r="L31" s="1453">
        <f t="shared" si="44"/>
        <v>0</v>
      </c>
      <c r="M31" s="3228"/>
      <c r="N31" s="1213"/>
      <c r="O31" s="563">
        <f>D32-D20</f>
        <v>0</v>
      </c>
    </row>
    <row r="32" spans="1:18">
      <c r="A32" s="3223"/>
      <c r="B32" s="1442" t="s">
        <v>21</v>
      </c>
      <c r="C32" s="1452"/>
      <c r="D32" s="1453">
        <f t="shared" ref="D32:L32" si="45">+D51+D547</f>
        <v>631710888</v>
      </c>
      <c r="E32" s="1453">
        <f t="shared" ref="E32" si="46">+E51+E547</f>
        <v>150294875</v>
      </c>
      <c r="F32" s="1453">
        <f t="shared" si="45"/>
        <v>187236187</v>
      </c>
      <c r="G32" s="1453">
        <f t="shared" si="45"/>
        <v>288860441</v>
      </c>
      <c r="H32" s="1453">
        <f t="shared" si="45"/>
        <v>5319385</v>
      </c>
      <c r="I32" s="1453">
        <f t="shared" si="45"/>
        <v>0</v>
      </c>
      <c r="J32" s="1453">
        <f t="shared" si="45"/>
        <v>0</v>
      </c>
      <c r="K32" s="1453">
        <f t="shared" si="45"/>
        <v>0</v>
      </c>
      <c r="L32" s="1453">
        <f t="shared" si="45"/>
        <v>0</v>
      </c>
      <c r="M32" s="3228"/>
      <c r="N32" s="1213"/>
    </row>
    <row r="33" spans="1:16" ht="13.5" hidden="1" thickBot="1">
      <c r="A33" s="3224"/>
      <c r="B33" s="26" t="s">
        <v>79</v>
      </c>
      <c r="C33" s="27"/>
      <c r="D33" s="1219">
        <f>+D548</f>
        <v>0</v>
      </c>
      <c r="E33" s="1219">
        <f t="shared" ref="E33" si="47">+E548</f>
        <v>0</v>
      </c>
      <c r="F33" s="1219">
        <f t="shared" ref="F33:L33" si="48">+F548</f>
        <v>0</v>
      </c>
      <c r="G33" s="1219">
        <f t="shared" si="48"/>
        <v>0</v>
      </c>
      <c r="H33" s="1219">
        <f t="shared" si="48"/>
        <v>0</v>
      </c>
      <c r="I33" s="1219">
        <f t="shared" si="48"/>
        <v>0</v>
      </c>
      <c r="J33" s="1219">
        <f t="shared" si="48"/>
        <v>0</v>
      </c>
      <c r="K33" s="1219">
        <f t="shared" si="48"/>
        <v>0</v>
      </c>
      <c r="L33" s="1219">
        <f t="shared" si="48"/>
        <v>0</v>
      </c>
      <c r="M33" s="3229"/>
      <c r="N33" s="1213"/>
    </row>
    <row r="34" spans="1:16" ht="29.25" customHeight="1">
      <c r="A34" s="1220" t="s">
        <v>251</v>
      </c>
      <c r="B34" s="1847" t="s">
        <v>276</v>
      </c>
      <c r="C34" s="1221"/>
      <c r="D34" s="28"/>
      <c r="E34" s="29"/>
      <c r="F34" s="29"/>
      <c r="G34" s="29"/>
      <c r="H34" s="29"/>
      <c r="I34" s="29"/>
      <c r="J34" s="29"/>
      <c r="K34" s="29"/>
      <c r="L34" s="29"/>
      <c r="M34" s="30"/>
      <c r="N34" s="1222"/>
    </row>
    <row r="35" spans="1:16" ht="13.5" customHeight="1">
      <c r="A35" s="1220"/>
      <c r="B35" s="1410" t="s">
        <v>10</v>
      </c>
      <c r="C35" s="1105"/>
      <c r="D35" s="1370">
        <f>+D36+D41</f>
        <v>767381330</v>
      </c>
      <c r="E35" s="1370">
        <f t="shared" ref="E35" si="49">+E36+E41</f>
        <v>193216455</v>
      </c>
      <c r="F35" s="1370">
        <f t="shared" ref="F35:M35" si="50">+F36+F41</f>
        <v>236751952</v>
      </c>
      <c r="G35" s="1370">
        <f t="shared" si="50"/>
        <v>331574823</v>
      </c>
      <c r="H35" s="1370">
        <f t="shared" si="50"/>
        <v>5838100</v>
      </c>
      <c r="I35" s="1370">
        <f t="shared" si="50"/>
        <v>0</v>
      </c>
      <c r="J35" s="1370">
        <f t="shared" si="50"/>
        <v>0</v>
      </c>
      <c r="K35" s="1370">
        <f t="shared" si="50"/>
        <v>0</v>
      </c>
      <c r="L35" s="1370">
        <f t="shared" si="50"/>
        <v>0</v>
      </c>
      <c r="M35" s="1355">
        <f t="shared" si="50"/>
        <v>574164875</v>
      </c>
      <c r="N35" s="1222"/>
      <c r="O35" s="563"/>
    </row>
    <row r="36" spans="1:16" s="1209" customFormat="1" ht="13.5" customHeight="1">
      <c r="A36" s="1220"/>
      <c r="B36" s="1454" t="s">
        <v>24</v>
      </c>
      <c r="C36" s="1455"/>
      <c r="D36" s="1413">
        <f>+D37+D38+D39+D40</f>
        <v>135670442</v>
      </c>
      <c r="E36" s="1413">
        <f t="shared" ref="E36" si="51">+E37+E38+E39+E40</f>
        <v>33838708</v>
      </c>
      <c r="F36" s="1413">
        <f t="shared" ref="F36:L36" si="52">+F37+F38+F39+F40</f>
        <v>43326781</v>
      </c>
      <c r="G36" s="1413">
        <f t="shared" si="52"/>
        <v>57986238</v>
      </c>
      <c r="H36" s="1413">
        <f t="shared" si="52"/>
        <v>518715</v>
      </c>
      <c r="I36" s="1413">
        <f t="shared" si="52"/>
        <v>0</v>
      </c>
      <c r="J36" s="1413">
        <f t="shared" si="52"/>
        <v>0</v>
      </c>
      <c r="K36" s="1413">
        <f t="shared" si="52"/>
        <v>0</v>
      </c>
      <c r="L36" s="1413">
        <f t="shared" si="52"/>
        <v>0</v>
      </c>
      <c r="M36" s="1456">
        <f>+M37+M38+M39+M40</f>
        <v>101831734</v>
      </c>
      <c r="N36" s="1222"/>
      <c r="P36" s="1206"/>
    </row>
    <row r="37" spans="1:16" ht="13.5" customHeight="1">
      <c r="A37" s="1220"/>
      <c r="B37" s="1457" t="s">
        <v>12</v>
      </c>
      <c r="C37" s="1458"/>
      <c r="D37" s="1414">
        <f>+D401+D269+D413+D377+D126+D83+D135+D389+D147+D159++D170+D253+D100+D179+D114+D191+D200+D241++D55+D226+D69+D216+D281+D293+D305+D317+D329+D341+D353+D365</f>
        <v>103823069</v>
      </c>
      <c r="E37" s="1414">
        <f>+E401+E269+E413+E377+E126+E83+E135+E389+E147+E159++E170+E253+E100+E179+E114+E191+E200+E241++E55+E226+E69+E216+E281+E293+E305+E317+E329+E341+E353+E365</f>
        <v>12161335</v>
      </c>
      <c r="F37" s="1414">
        <f t="shared" ref="F37:L37" si="53">+F401+F269+F413+F377+F126+F83+F135+F389+F147+F159++F170+F253+F100+F179+F114+F191+F200+F241++F55+F226+F69+F216+F281+F293+F305+F317+F329+F341+F353+F365</f>
        <v>39198602</v>
      </c>
      <c r="G37" s="1414">
        <f t="shared" si="53"/>
        <v>51944417</v>
      </c>
      <c r="H37" s="1414">
        <f t="shared" si="53"/>
        <v>518715</v>
      </c>
      <c r="I37" s="1414">
        <f t="shared" si="53"/>
        <v>0</v>
      </c>
      <c r="J37" s="1414">
        <f t="shared" si="53"/>
        <v>0</v>
      </c>
      <c r="K37" s="1414">
        <f t="shared" si="53"/>
        <v>0</v>
      </c>
      <c r="L37" s="1414">
        <f t="shared" si="53"/>
        <v>0</v>
      </c>
      <c r="M37" s="1381">
        <f>SUM(F37:L37)</f>
        <v>91661734</v>
      </c>
      <c r="N37" s="1225"/>
      <c r="O37" s="563"/>
      <c r="P37" s="1206"/>
    </row>
    <row r="38" spans="1:16" ht="12" customHeight="1">
      <c r="A38" s="1220"/>
      <c r="B38" s="1373" t="s">
        <v>15</v>
      </c>
      <c r="C38" s="1377"/>
      <c r="D38" s="1414">
        <f>+D270+D415+D378+D136+D148+D228+D255+D85+D180+D242+D330+D342</f>
        <v>20467692</v>
      </c>
      <c r="E38" s="1414">
        <f t="shared" ref="E38" si="54">+E270+E415+E378+E136+E148+E228+E255+E85+E180+E242+E330+E342</f>
        <v>10297692</v>
      </c>
      <c r="F38" s="1414">
        <f t="shared" ref="F38:L38" si="55">+F270+F415+F378+F136+F148+F228+F255+F85+F180+F242+F330+F342</f>
        <v>4128179</v>
      </c>
      <c r="G38" s="1414">
        <f t="shared" si="55"/>
        <v>6041821</v>
      </c>
      <c r="H38" s="1414">
        <f t="shared" si="55"/>
        <v>0</v>
      </c>
      <c r="I38" s="1414">
        <f t="shared" si="55"/>
        <v>0</v>
      </c>
      <c r="J38" s="1414">
        <f t="shared" si="55"/>
        <v>0</v>
      </c>
      <c r="K38" s="1414">
        <f t="shared" si="55"/>
        <v>0</v>
      </c>
      <c r="L38" s="1414">
        <f t="shared" si="55"/>
        <v>0</v>
      </c>
      <c r="M38" s="1381">
        <f>SUM(F38:L38)</f>
        <v>10170000</v>
      </c>
      <c r="N38" s="1225"/>
      <c r="O38" s="563">
        <f>D38-D45</f>
        <v>0</v>
      </c>
      <c r="P38" s="1206"/>
    </row>
    <row r="39" spans="1:16" ht="12" customHeight="1">
      <c r="A39" s="1220"/>
      <c r="B39" s="1373" t="s">
        <v>17</v>
      </c>
      <c r="C39" s="1377"/>
      <c r="D39" s="1414">
        <f t="shared" ref="D39:L39" si="56">+D56+D227+D70+D254+D101+D84+D115</f>
        <v>11379681</v>
      </c>
      <c r="E39" s="1414">
        <f t="shared" ref="E39" si="57">+E56+E227+E70+E254+E101+E84+E115</f>
        <v>11379681</v>
      </c>
      <c r="F39" s="1414">
        <f t="shared" si="56"/>
        <v>0</v>
      </c>
      <c r="G39" s="1414">
        <f t="shared" si="56"/>
        <v>0</v>
      </c>
      <c r="H39" s="1414">
        <f t="shared" si="56"/>
        <v>0</v>
      </c>
      <c r="I39" s="1414">
        <f t="shared" si="56"/>
        <v>0</v>
      </c>
      <c r="J39" s="1414">
        <f t="shared" si="56"/>
        <v>0</v>
      </c>
      <c r="K39" s="1414">
        <f t="shared" si="56"/>
        <v>0</v>
      </c>
      <c r="L39" s="1414">
        <f t="shared" si="56"/>
        <v>0</v>
      </c>
      <c r="M39" s="1381">
        <f>SUM(F39:L39)</f>
        <v>0</v>
      </c>
      <c r="N39" s="1225"/>
      <c r="O39" s="563">
        <f>D39-D46</f>
        <v>0</v>
      </c>
      <c r="P39" s="1206"/>
    </row>
    <row r="40" spans="1:16" ht="12" hidden="1" customHeight="1">
      <c r="A40" s="1220"/>
      <c r="B40" s="1373" t="s">
        <v>52</v>
      </c>
      <c r="C40" s="1377"/>
      <c r="D40" s="1414">
        <f>D390+D402+D414</f>
        <v>0</v>
      </c>
      <c r="E40" s="1414">
        <f t="shared" ref="E40" si="58">E390+E402+E414</f>
        <v>0</v>
      </c>
      <c r="F40" s="1414">
        <f t="shared" ref="F40:L40" si="59">F390+F402+F414</f>
        <v>0</v>
      </c>
      <c r="G40" s="1414">
        <f t="shared" si="59"/>
        <v>0</v>
      </c>
      <c r="H40" s="1414">
        <f t="shared" si="59"/>
        <v>0</v>
      </c>
      <c r="I40" s="1414">
        <f t="shared" si="59"/>
        <v>0</v>
      </c>
      <c r="J40" s="1414">
        <f t="shared" si="59"/>
        <v>0</v>
      </c>
      <c r="K40" s="1414">
        <f t="shared" si="59"/>
        <v>0</v>
      </c>
      <c r="L40" s="1414">
        <f t="shared" si="59"/>
        <v>0</v>
      </c>
      <c r="M40" s="1381">
        <f>SUM(F40:L40)</f>
        <v>0</v>
      </c>
      <c r="N40" s="1225"/>
      <c r="O40" s="563"/>
      <c r="P40" s="1206"/>
    </row>
    <row r="41" spans="1:16" s="1209" customFormat="1" ht="14.25" customHeight="1">
      <c r="A41" s="1220"/>
      <c r="B41" s="1415" t="s">
        <v>18</v>
      </c>
      <c r="C41" s="1416"/>
      <c r="D41" s="1413">
        <f>+D42</f>
        <v>631710888</v>
      </c>
      <c r="E41" s="1413">
        <f t="shared" ref="E41:L41" si="60">+E42</f>
        <v>159377747</v>
      </c>
      <c r="F41" s="1413">
        <f t="shared" si="60"/>
        <v>193425171</v>
      </c>
      <c r="G41" s="1413">
        <f t="shared" si="60"/>
        <v>273588585</v>
      </c>
      <c r="H41" s="1413">
        <f t="shared" si="60"/>
        <v>5319385</v>
      </c>
      <c r="I41" s="1413">
        <f t="shared" si="60"/>
        <v>0</v>
      </c>
      <c r="J41" s="1413">
        <f t="shared" si="60"/>
        <v>0</v>
      </c>
      <c r="K41" s="1413">
        <f t="shared" si="60"/>
        <v>0</v>
      </c>
      <c r="L41" s="1413">
        <f t="shared" si="60"/>
        <v>0</v>
      </c>
      <c r="M41" s="1459">
        <f>+M42</f>
        <v>472333141</v>
      </c>
      <c r="N41" s="1225"/>
      <c r="P41" s="1206"/>
    </row>
    <row r="42" spans="1:16">
      <c r="A42" s="1220"/>
      <c r="B42" s="1460" t="s">
        <v>21</v>
      </c>
      <c r="C42" s="1461"/>
      <c r="D42" s="1462">
        <f>+D404+D272+D59+D230+D73+D417+D380+D128+D88+D138+D392+D150+D161+D172+D258+D104+D182+D117+D193+D202+D244+D209+D218+D284+D296+D308+D320+D332+D344+D356+D368</f>
        <v>631710888</v>
      </c>
      <c r="E42" s="1462">
        <f t="shared" ref="E42" si="61">+E404+E272+E59+E230+E73+E417+E380+E128+E88+E138+E392+E150+E161+E172+E258+E104+E182+E117+E193+E202+E244+E209+E218+E284+E296+E308+E320+E332+E344+E356+E368</f>
        <v>159377747</v>
      </c>
      <c r="F42" s="1462">
        <f t="shared" ref="F42:L42" si="62">+F404+F272+F59+F230+F73+F417+F380+F128+F88+F138+F392+F150+F161+F172+F258+F104+F182+F117+F193+F202+F244+F209+F218+F284+F296+F308+F320+F332+F344+F356+F368</f>
        <v>193425171</v>
      </c>
      <c r="G42" s="1462">
        <f t="shared" si="62"/>
        <v>273588585</v>
      </c>
      <c r="H42" s="1462">
        <f t="shared" si="62"/>
        <v>5319385</v>
      </c>
      <c r="I42" s="1462">
        <f t="shared" si="62"/>
        <v>0</v>
      </c>
      <c r="J42" s="1462">
        <f t="shared" si="62"/>
        <v>0</v>
      </c>
      <c r="K42" s="1462">
        <f t="shared" si="62"/>
        <v>0</v>
      </c>
      <c r="L42" s="1462">
        <f t="shared" si="62"/>
        <v>0</v>
      </c>
      <c r="M42" s="1381">
        <f>SUM(F42:L42)</f>
        <v>472333141</v>
      </c>
      <c r="N42" s="1222"/>
      <c r="O42" s="563">
        <f>D42-D51</f>
        <v>0</v>
      </c>
      <c r="P42" s="1206"/>
    </row>
    <row r="43" spans="1:16" ht="14.25" customHeight="1">
      <c r="A43" s="1220"/>
      <c r="B43" s="826" t="s">
        <v>22</v>
      </c>
      <c r="C43" s="1105"/>
      <c r="D43" s="1370">
        <f>+D44+D49</f>
        <v>663558261</v>
      </c>
      <c r="E43" s="1370">
        <f t="shared" ref="E43" si="63">+E44+E49</f>
        <v>171972248</v>
      </c>
      <c r="F43" s="1370">
        <f t="shared" ref="F43:L43" si="64">+F44+F49</f>
        <v>191364366</v>
      </c>
      <c r="G43" s="1370">
        <f t="shared" si="64"/>
        <v>294902262</v>
      </c>
      <c r="H43" s="1370">
        <f t="shared" si="64"/>
        <v>5319385</v>
      </c>
      <c r="I43" s="1370">
        <f t="shared" si="64"/>
        <v>0</v>
      </c>
      <c r="J43" s="1370">
        <f t="shared" si="64"/>
        <v>0</v>
      </c>
      <c r="K43" s="1370">
        <f t="shared" si="64"/>
        <v>0</v>
      </c>
      <c r="L43" s="1370">
        <f t="shared" si="64"/>
        <v>0</v>
      </c>
      <c r="M43" s="3232" t="s">
        <v>23</v>
      </c>
      <c r="N43" s="1225"/>
    </row>
    <row r="44" spans="1:16" ht="12.75" customHeight="1">
      <c r="A44" s="1220"/>
      <c r="B44" s="1371" t="s">
        <v>24</v>
      </c>
      <c r="C44" s="1228"/>
      <c r="D44" s="38">
        <f>+D45+D46+D47+D48</f>
        <v>31847373</v>
      </c>
      <c r="E44" s="38">
        <f t="shared" ref="E44" si="65">+E45+E46+E47+E48</f>
        <v>21677373</v>
      </c>
      <c r="F44" s="38">
        <f t="shared" ref="F44:L44" si="66">+F45+F46+F47+F48</f>
        <v>4128179</v>
      </c>
      <c r="G44" s="38">
        <f t="shared" si="66"/>
        <v>6041821</v>
      </c>
      <c r="H44" s="38">
        <f t="shared" si="66"/>
        <v>0</v>
      </c>
      <c r="I44" s="38">
        <f t="shared" si="66"/>
        <v>0</v>
      </c>
      <c r="J44" s="38">
        <f t="shared" si="66"/>
        <v>0</v>
      </c>
      <c r="K44" s="38">
        <f t="shared" si="66"/>
        <v>0</v>
      </c>
      <c r="L44" s="38">
        <f t="shared" si="66"/>
        <v>0</v>
      </c>
      <c r="M44" s="3233"/>
      <c r="N44" s="1225"/>
      <c r="O44" s="563"/>
    </row>
    <row r="45" spans="1:16" ht="11.25" customHeight="1">
      <c r="A45" s="1220"/>
      <c r="B45" s="39" t="s">
        <v>15</v>
      </c>
      <c r="C45" s="40"/>
      <c r="D45" s="1372">
        <f>+D275+D421+D383+D141+D153+D234+D262+D92+D185+D247+D335+D347</f>
        <v>20467692</v>
      </c>
      <c r="E45" s="1372">
        <f t="shared" ref="E45" si="67">+E275+E421+E383+E141+E153+E234+E262+E92+E185+E247+E335+E347</f>
        <v>10297692</v>
      </c>
      <c r="F45" s="1372">
        <f t="shared" ref="F45:L45" si="68">+F275+F421+F383+F141+F153+F234+F262+F92+F185+F247+F335+F347</f>
        <v>4128179</v>
      </c>
      <c r="G45" s="1372">
        <f t="shared" si="68"/>
        <v>6041821</v>
      </c>
      <c r="H45" s="1372">
        <f t="shared" si="68"/>
        <v>0</v>
      </c>
      <c r="I45" s="1372">
        <f t="shared" si="68"/>
        <v>0</v>
      </c>
      <c r="J45" s="1372">
        <f t="shared" si="68"/>
        <v>0</v>
      </c>
      <c r="K45" s="1372">
        <f t="shared" si="68"/>
        <v>0</v>
      </c>
      <c r="L45" s="1372">
        <f t="shared" si="68"/>
        <v>0</v>
      </c>
      <c r="M45" s="3233"/>
      <c r="N45" s="1225"/>
    </row>
    <row r="46" spans="1:16">
      <c r="A46" s="1220"/>
      <c r="B46" s="1373" t="s">
        <v>17</v>
      </c>
      <c r="C46" s="40"/>
      <c r="D46" s="1372">
        <f t="shared" ref="D46:L46" si="69">+D62+D233+D76+D261+D107+D91+D120</f>
        <v>11379681</v>
      </c>
      <c r="E46" s="1372">
        <f t="shared" ref="E46" si="70">+E62+E233+E76+E261+E107+E91+E120</f>
        <v>11379681</v>
      </c>
      <c r="F46" s="1372">
        <f t="shared" si="69"/>
        <v>0</v>
      </c>
      <c r="G46" s="1372">
        <f t="shared" si="69"/>
        <v>0</v>
      </c>
      <c r="H46" s="1372">
        <f t="shared" si="69"/>
        <v>0</v>
      </c>
      <c r="I46" s="1372">
        <f t="shared" si="69"/>
        <v>0</v>
      </c>
      <c r="J46" s="1372">
        <f t="shared" si="69"/>
        <v>0</v>
      </c>
      <c r="K46" s="1372">
        <f t="shared" si="69"/>
        <v>0</v>
      </c>
      <c r="L46" s="1372">
        <f t="shared" si="69"/>
        <v>0</v>
      </c>
      <c r="M46" s="3233"/>
      <c r="N46" s="1225"/>
    </row>
    <row r="47" spans="1:16" hidden="1">
      <c r="A47" s="1220"/>
      <c r="B47" s="1373" t="s">
        <v>26</v>
      </c>
      <c r="C47" s="40"/>
      <c r="D47" s="1372">
        <f>+D164</f>
        <v>0</v>
      </c>
      <c r="E47" s="1372">
        <f t="shared" ref="E47" si="71">+E164</f>
        <v>0</v>
      </c>
      <c r="F47" s="1372">
        <f t="shared" ref="F47:L47" si="72">+F164</f>
        <v>0</v>
      </c>
      <c r="G47" s="1372">
        <f t="shared" si="72"/>
        <v>0</v>
      </c>
      <c r="H47" s="1372">
        <f t="shared" si="72"/>
        <v>0</v>
      </c>
      <c r="I47" s="1372">
        <f t="shared" si="72"/>
        <v>0</v>
      </c>
      <c r="J47" s="1372">
        <f t="shared" si="72"/>
        <v>0</v>
      </c>
      <c r="K47" s="1372">
        <f t="shared" si="72"/>
        <v>0</v>
      </c>
      <c r="L47" s="1372">
        <f t="shared" si="72"/>
        <v>0</v>
      </c>
      <c r="M47" s="3233"/>
      <c r="N47" s="1225"/>
    </row>
    <row r="48" spans="1:16" hidden="1">
      <c r="A48" s="1220"/>
      <c r="B48" s="1373" t="s">
        <v>52</v>
      </c>
      <c r="C48" s="40"/>
      <c r="D48" s="1372">
        <f>D395+D407+D420</f>
        <v>0</v>
      </c>
      <c r="E48" s="1372">
        <f t="shared" ref="E48" si="73">E395+E407+E420</f>
        <v>0</v>
      </c>
      <c r="F48" s="1372">
        <f t="shared" ref="F48:L48" si="74">F395+F407+F420</f>
        <v>0</v>
      </c>
      <c r="G48" s="1372">
        <f t="shared" si="74"/>
        <v>0</v>
      </c>
      <c r="H48" s="1372">
        <f t="shared" si="74"/>
        <v>0</v>
      </c>
      <c r="I48" s="1372">
        <f t="shared" si="74"/>
        <v>0</v>
      </c>
      <c r="J48" s="1372">
        <f t="shared" si="74"/>
        <v>0</v>
      </c>
      <c r="K48" s="1372">
        <f t="shared" si="74"/>
        <v>0</v>
      </c>
      <c r="L48" s="1372">
        <f t="shared" si="74"/>
        <v>0</v>
      </c>
      <c r="M48" s="3233"/>
      <c r="N48" s="1225"/>
    </row>
    <row r="49" spans="1:15" ht="12" customHeight="1">
      <c r="A49" s="1220"/>
      <c r="B49" s="1374" t="s">
        <v>18</v>
      </c>
      <c r="C49" s="1375"/>
      <c r="D49" s="1376">
        <f>+D50+D51</f>
        <v>631710888</v>
      </c>
      <c r="E49" s="1376">
        <f t="shared" ref="E49" si="75">+E50+E51</f>
        <v>150294875</v>
      </c>
      <c r="F49" s="1376">
        <f t="shared" ref="F49:L49" si="76">+F50+F51</f>
        <v>187236187</v>
      </c>
      <c r="G49" s="1376">
        <f t="shared" si="76"/>
        <v>288860441</v>
      </c>
      <c r="H49" s="1376">
        <f t="shared" si="76"/>
        <v>5319385</v>
      </c>
      <c r="I49" s="1376">
        <f t="shared" si="76"/>
        <v>0</v>
      </c>
      <c r="J49" s="1376">
        <f t="shared" si="76"/>
        <v>0</v>
      </c>
      <c r="K49" s="1376">
        <f t="shared" si="76"/>
        <v>0</v>
      </c>
      <c r="L49" s="1376">
        <f t="shared" si="76"/>
        <v>0</v>
      </c>
      <c r="M49" s="3233"/>
      <c r="N49" s="1225"/>
    </row>
    <row r="50" spans="1:15" ht="12" hidden="1" customHeight="1">
      <c r="A50" s="1220"/>
      <c r="B50" s="1373" t="s">
        <v>17</v>
      </c>
      <c r="C50" s="1377"/>
      <c r="D50" s="1372">
        <f t="shared" ref="D50:L50" si="77">+D64+D236+D78+D94+D264+D109</f>
        <v>0</v>
      </c>
      <c r="E50" s="1372">
        <f t="shared" ref="E50" si="78">+E64+E236+E78+E94+E264+E109</f>
        <v>0</v>
      </c>
      <c r="F50" s="1372">
        <f t="shared" si="77"/>
        <v>0</v>
      </c>
      <c r="G50" s="1372">
        <f t="shared" si="77"/>
        <v>0</v>
      </c>
      <c r="H50" s="1372">
        <f t="shared" si="77"/>
        <v>0</v>
      </c>
      <c r="I50" s="1372">
        <f t="shared" si="77"/>
        <v>0</v>
      </c>
      <c r="J50" s="1372">
        <f t="shared" si="77"/>
        <v>0</v>
      </c>
      <c r="K50" s="1372">
        <f t="shared" si="77"/>
        <v>0</v>
      </c>
      <c r="L50" s="1372">
        <f t="shared" si="77"/>
        <v>0</v>
      </c>
      <c r="M50" s="3233"/>
      <c r="N50" s="1225"/>
      <c r="O50" s="563"/>
    </row>
    <row r="51" spans="1:15" ht="12.75" customHeight="1" thickBot="1">
      <c r="A51" s="1229"/>
      <c r="B51" s="41" t="s">
        <v>21</v>
      </c>
      <c r="C51" s="42"/>
      <c r="D51" s="1378">
        <f>+D409+D277+D65+D237+D79+D423+D385+D131+D95+D143+D397++D155+D166+D175+D265+D110+D187+D122+D196+D205+D249+D212+D221+D289+D301+D313+D325+D337+D349+D361+D373</f>
        <v>631710888</v>
      </c>
      <c r="E51" s="1378">
        <f t="shared" ref="E51" si="79">+E409+E277+E65+E237+E79+E423+E385+E131+E95+E143+E397++E155+E166+E175+E265+E110+E187+E122+E196+E205+E249+E212+E221+E289+E301+E313+E325+E337+E349+E361+E373</f>
        <v>150294875</v>
      </c>
      <c r="F51" s="1378">
        <f>+F409+F277+F65+F237+F79+F423+F385+F131+F95+F143+F397++F155+F166+F175+F265+F110+F187+F122+F196+F205+F249+F212+F221+F289+F301+F313+F325+F337+F349+F361+F373</f>
        <v>187236187</v>
      </c>
      <c r="G51" s="1378">
        <f t="shared" ref="G51:L51" si="80">+G409+G277+G65+G237+G79+G423+G385+G131+G95+G143+G397++G155+G166+G175+G265+G110+G187+G122+G196+G205+G249+G212+G221+G289+G301+G313+G325+G337+G349+G361+G373</f>
        <v>288860441</v>
      </c>
      <c r="H51" s="1378">
        <f t="shared" si="80"/>
        <v>5319385</v>
      </c>
      <c r="I51" s="1378">
        <f t="shared" si="80"/>
        <v>0</v>
      </c>
      <c r="J51" s="1378">
        <f t="shared" si="80"/>
        <v>0</v>
      </c>
      <c r="K51" s="1378">
        <f t="shared" si="80"/>
        <v>0</v>
      </c>
      <c r="L51" s="1378">
        <f t="shared" si="80"/>
        <v>0</v>
      </c>
      <c r="M51" s="3234"/>
      <c r="N51" s="1230"/>
      <c r="O51" s="563"/>
    </row>
    <row r="52" spans="1:15" ht="25.5" hidden="1" customHeight="1">
      <c r="A52" s="3133" t="s">
        <v>63</v>
      </c>
      <c r="B52" s="82"/>
      <c r="C52" s="64" t="s">
        <v>81</v>
      </c>
      <c r="D52" s="1187"/>
      <c r="E52" s="45"/>
      <c r="F52" s="45"/>
      <c r="G52" s="45"/>
      <c r="H52" s="45"/>
      <c r="I52" s="45"/>
      <c r="J52" s="45"/>
      <c r="K52" s="45"/>
      <c r="L52" s="45"/>
      <c r="M52" s="46"/>
      <c r="N52" s="47" t="s">
        <v>82</v>
      </c>
    </row>
    <row r="53" spans="1:15" ht="12" hidden="1" customHeight="1">
      <c r="A53" s="3134"/>
      <c r="B53" s="31" t="s">
        <v>10</v>
      </c>
      <c r="C53" s="22"/>
      <c r="D53" s="1216">
        <f t="shared" ref="D53" si="81">+D54+D57</f>
        <v>0</v>
      </c>
      <c r="E53" s="264">
        <f>+E54+E57</f>
        <v>0</v>
      </c>
      <c r="F53" s="225"/>
      <c r="G53" s="225"/>
      <c r="H53" s="225"/>
      <c r="I53" s="225"/>
      <c r="J53" s="225"/>
      <c r="K53" s="225"/>
      <c r="L53" s="225"/>
      <c r="M53" s="1231">
        <f>+M54+M57</f>
        <v>0</v>
      </c>
      <c r="N53" s="3153" t="s">
        <v>83</v>
      </c>
      <c r="O53" s="563" t="e">
        <f>+#REF!+#REF!</f>
        <v>#REF!</v>
      </c>
    </row>
    <row r="54" spans="1:15" ht="12" hidden="1" customHeight="1">
      <c r="A54" s="3134"/>
      <c r="B54" s="797" t="s">
        <v>24</v>
      </c>
      <c r="C54" s="3091" t="s">
        <v>84</v>
      </c>
      <c r="D54" s="1232">
        <f>+D55+D56</f>
        <v>0</v>
      </c>
      <c r="E54" s="1232">
        <f>+E55+E56</f>
        <v>0</v>
      </c>
      <c r="F54" s="1232"/>
      <c r="G54" s="1232"/>
      <c r="H54" s="1232"/>
      <c r="I54" s="1232"/>
      <c r="J54" s="1232"/>
      <c r="K54" s="1232"/>
      <c r="L54" s="1232"/>
      <c r="M54" s="1233">
        <f>+M55+M56</f>
        <v>0</v>
      </c>
      <c r="N54" s="3153"/>
    </row>
    <row r="55" spans="1:15" ht="12" hidden="1" customHeight="1">
      <c r="A55" s="3134"/>
      <c r="B55" s="1234" t="s">
        <v>12</v>
      </c>
      <c r="C55" s="3149"/>
      <c r="D55" s="280">
        <f t="shared" ref="D55:D59" si="82">E55+F55+G55+H55+I55+J55+K55+L55</f>
        <v>0</v>
      </c>
      <c r="E55" s="321"/>
      <c r="F55" s="321"/>
      <c r="G55" s="321"/>
      <c r="H55" s="321"/>
      <c r="I55" s="321"/>
      <c r="J55" s="321"/>
      <c r="K55" s="321"/>
      <c r="L55" s="321"/>
      <c r="M55" s="37">
        <f>SUM(F55:I55)</f>
        <v>0</v>
      </c>
      <c r="N55" s="3153"/>
    </row>
    <row r="56" spans="1:15" ht="12" hidden="1" customHeight="1">
      <c r="A56" s="3134"/>
      <c r="B56" s="1234" t="s">
        <v>17</v>
      </c>
      <c r="C56" s="3149"/>
      <c r="D56" s="280">
        <f t="shared" si="82"/>
        <v>0</v>
      </c>
      <c r="E56" s="321"/>
      <c r="F56" s="52"/>
      <c r="G56" s="52"/>
      <c r="H56" s="52"/>
      <c r="I56" s="52"/>
      <c r="J56" s="52"/>
      <c r="K56" s="52"/>
      <c r="L56" s="52"/>
      <c r="M56" s="37">
        <f>SUM(F56:I56)</f>
        <v>0</v>
      </c>
      <c r="N56" s="3153"/>
    </row>
    <row r="57" spans="1:15" ht="12.75" hidden="1" customHeight="1">
      <c r="A57" s="3134"/>
      <c r="B57" s="1126" t="s">
        <v>18</v>
      </c>
      <c r="C57" s="3149"/>
      <c r="D57" s="53">
        <f>+D59+D58</f>
        <v>0</v>
      </c>
      <c r="E57" s="54">
        <f t="shared" ref="E57" si="83">+E58+E59</f>
        <v>0</v>
      </c>
      <c r="F57" s="54"/>
      <c r="G57" s="54"/>
      <c r="H57" s="54"/>
      <c r="I57" s="54"/>
      <c r="J57" s="54"/>
      <c r="K57" s="54"/>
      <c r="L57" s="54"/>
      <c r="M57" s="55">
        <f>+M59+M58</f>
        <v>0</v>
      </c>
      <c r="N57" s="3153"/>
    </row>
    <row r="58" spans="1:15" ht="12" hidden="1" customHeight="1">
      <c r="A58" s="3134"/>
      <c r="B58" s="1234" t="s">
        <v>17</v>
      </c>
      <c r="C58" s="2993"/>
      <c r="D58" s="280">
        <f t="shared" si="82"/>
        <v>0</v>
      </c>
      <c r="E58" s="50"/>
      <c r="F58" s="56"/>
      <c r="G58" s="56"/>
      <c r="H58" s="56"/>
      <c r="I58" s="56"/>
      <c r="J58" s="56"/>
      <c r="K58" s="56"/>
      <c r="L58" s="56"/>
      <c r="M58" s="48"/>
      <c r="N58" s="3153"/>
    </row>
    <row r="59" spans="1:15" ht="12" hidden="1" customHeight="1">
      <c r="A59" s="3134"/>
      <c r="B59" s="520" t="s">
        <v>21</v>
      </c>
      <c r="C59" s="295"/>
      <c r="D59" s="280">
        <f t="shared" si="82"/>
        <v>0</v>
      </c>
      <c r="E59" s="321"/>
      <c r="F59" s="52"/>
      <c r="G59" s="52"/>
      <c r="H59" s="52"/>
      <c r="I59" s="52"/>
      <c r="J59" s="52"/>
      <c r="K59" s="52"/>
      <c r="L59" s="52"/>
      <c r="M59" s="37">
        <f>SUM(F59:I59)</f>
        <v>0</v>
      </c>
      <c r="N59" s="3154"/>
    </row>
    <row r="60" spans="1:15" ht="12" hidden="1" customHeight="1">
      <c r="A60" s="3134"/>
      <c r="B60" s="91" t="s">
        <v>22</v>
      </c>
      <c r="C60" s="101"/>
      <c r="D60" s="116">
        <f t="shared" ref="D60" si="84">+D63+D61</f>
        <v>0</v>
      </c>
      <c r="E60" s="116">
        <f>+E63+E61</f>
        <v>0</v>
      </c>
      <c r="F60" s="116"/>
      <c r="G60" s="116"/>
      <c r="H60" s="116"/>
      <c r="I60" s="116"/>
      <c r="J60" s="116"/>
      <c r="K60" s="116"/>
      <c r="L60" s="116"/>
      <c r="M60" s="3122" t="s">
        <v>23</v>
      </c>
      <c r="N60" s="3213" t="s">
        <v>256</v>
      </c>
    </row>
    <row r="61" spans="1:15" ht="12" hidden="1" customHeight="1">
      <c r="A61" s="3134"/>
      <c r="B61" s="797" t="s">
        <v>24</v>
      </c>
      <c r="C61" s="3091" t="s">
        <v>85</v>
      </c>
      <c r="D61" s="57">
        <f>+D62</f>
        <v>0</v>
      </c>
      <c r="E61" s="57">
        <f t="shared" ref="E61" si="85">+E62</f>
        <v>0</v>
      </c>
      <c r="F61" s="57"/>
      <c r="G61" s="57"/>
      <c r="H61" s="57"/>
      <c r="I61" s="57"/>
      <c r="J61" s="57"/>
      <c r="K61" s="57"/>
      <c r="L61" s="57"/>
      <c r="M61" s="3122"/>
      <c r="N61" s="3159"/>
    </row>
    <row r="62" spans="1:15" ht="12" hidden="1" customHeight="1">
      <c r="A62" s="3134"/>
      <c r="B62" s="1234" t="s">
        <v>17</v>
      </c>
      <c r="C62" s="3149"/>
      <c r="D62" s="280">
        <f t="shared" ref="D62" si="86">E62+F62+G62+H62+I62+J62+K62+L62</f>
        <v>0</v>
      </c>
      <c r="E62" s="321"/>
      <c r="F62" s="59"/>
      <c r="G62" s="59"/>
      <c r="H62" s="59"/>
      <c r="I62" s="59"/>
      <c r="J62" s="59"/>
      <c r="K62" s="59"/>
      <c r="L62" s="59"/>
      <c r="M62" s="3122"/>
      <c r="N62" s="3159"/>
    </row>
    <row r="63" spans="1:15" ht="12" hidden="1" customHeight="1">
      <c r="A63" s="3134"/>
      <c r="B63" s="1126" t="s">
        <v>18</v>
      </c>
      <c r="C63" s="3149"/>
      <c r="D63" s="53">
        <f>+D65+D64</f>
        <v>0</v>
      </c>
      <c r="E63" s="53"/>
      <c r="F63" s="53"/>
      <c r="G63" s="53"/>
      <c r="H63" s="53"/>
      <c r="I63" s="53"/>
      <c r="J63" s="53"/>
      <c r="K63" s="53"/>
      <c r="L63" s="53"/>
      <c r="M63" s="3122"/>
      <c r="N63" s="3159"/>
    </row>
    <row r="64" spans="1:15" ht="15" hidden="1" customHeight="1">
      <c r="A64" s="3134"/>
      <c r="B64" s="1234" t="s">
        <v>17</v>
      </c>
      <c r="C64" s="3149"/>
      <c r="D64" s="280">
        <f t="shared" ref="D64:D65" si="87">E64+F64+G64+H64+I64+J64+K64+L64</f>
        <v>0</v>
      </c>
      <c r="E64" s="51"/>
      <c r="F64" s="51"/>
      <c r="G64" s="51"/>
      <c r="H64" s="51"/>
      <c r="I64" s="51"/>
      <c r="J64" s="51"/>
      <c r="K64" s="51"/>
      <c r="L64" s="51"/>
      <c r="M64" s="3122"/>
      <c r="N64" s="3159"/>
    </row>
    <row r="65" spans="1:15" ht="12" hidden="1" customHeight="1" thickBot="1">
      <c r="A65" s="3171"/>
      <c r="B65" s="60" t="s">
        <v>21</v>
      </c>
      <c r="C65" s="3137"/>
      <c r="D65" s="280">
        <f t="shared" si="87"/>
        <v>0</v>
      </c>
      <c r="E65" s="321"/>
      <c r="F65" s="63"/>
      <c r="G65" s="63"/>
      <c r="H65" s="63"/>
      <c r="I65" s="63"/>
      <c r="J65" s="63"/>
      <c r="K65" s="63"/>
      <c r="L65" s="63"/>
      <c r="M65" s="3123"/>
      <c r="N65" s="3160"/>
    </row>
    <row r="66" spans="1:15" ht="28.5" hidden="1" customHeight="1">
      <c r="A66" s="3133"/>
      <c r="B66" s="82"/>
      <c r="C66" s="64" t="s">
        <v>81</v>
      </c>
      <c r="D66" s="65"/>
      <c r="E66" s="45"/>
      <c r="F66" s="45"/>
      <c r="G66" s="43"/>
      <c r="H66" s="43"/>
      <c r="I66" s="44"/>
      <c r="J66" s="266"/>
      <c r="K66" s="266"/>
      <c r="L66" s="266"/>
      <c r="M66" s="68"/>
      <c r="N66" s="47"/>
    </row>
    <row r="67" spans="1:15" ht="12" hidden="1" customHeight="1">
      <c r="A67" s="3134"/>
      <c r="B67" s="86" t="s">
        <v>10</v>
      </c>
      <c r="C67" s="22"/>
      <c r="D67" s="69">
        <f>+D68+D71</f>
        <v>0</v>
      </c>
      <c r="E67" s="69">
        <f>+E68+E71</f>
        <v>0</v>
      </c>
      <c r="F67" s="69"/>
      <c r="G67" s="69"/>
      <c r="H67" s="69"/>
      <c r="I67" s="69"/>
      <c r="J67" s="272"/>
      <c r="K67" s="272"/>
      <c r="L67" s="272"/>
      <c r="M67" s="102"/>
      <c r="N67" s="3153" t="s">
        <v>83</v>
      </c>
      <c r="O67" s="563" t="e">
        <f>+#REF!+#REF!</f>
        <v>#REF!</v>
      </c>
    </row>
    <row r="68" spans="1:15" ht="12" hidden="1" customHeight="1">
      <c r="A68" s="3134"/>
      <c r="B68" s="1235" t="s">
        <v>24</v>
      </c>
      <c r="C68" s="3091" t="s">
        <v>84</v>
      </c>
      <c r="D68" s="72">
        <f>+D69+D70</f>
        <v>0</v>
      </c>
      <c r="E68" s="72">
        <f>+E69+E70</f>
        <v>0</v>
      </c>
      <c r="F68" s="72"/>
      <c r="G68" s="72"/>
      <c r="H68" s="72"/>
      <c r="I68" s="72"/>
      <c r="J68" s="273"/>
      <c r="K68" s="273"/>
      <c r="L68" s="273"/>
      <c r="M68" s="337"/>
      <c r="N68" s="3153"/>
    </row>
    <row r="69" spans="1:15" ht="12" hidden="1" customHeight="1">
      <c r="A69" s="3134"/>
      <c r="B69" s="1125" t="s">
        <v>12</v>
      </c>
      <c r="C69" s="3149"/>
      <c r="D69" s="280">
        <f>SUM(E69:I69)</f>
        <v>0</v>
      </c>
      <c r="E69" s="321"/>
      <c r="F69" s="75"/>
      <c r="G69" s="75"/>
      <c r="H69" s="75"/>
      <c r="I69" s="75"/>
      <c r="J69" s="274"/>
      <c r="K69" s="274"/>
      <c r="L69" s="274"/>
      <c r="M69" s="76"/>
      <c r="N69" s="3153"/>
    </row>
    <row r="70" spans="1:15" ht="12.75" hidden="1" customHeight="1">
      <c r="A70" s="3134"/>
      <c r="B70" s="1125" t="s">
        <v>17</v>
      </c>
      <c r="C70" s="3147"/>
      <c r="D70" s="280">
        <f>SUM(E70:I70)</f>
        <v>0</v>
      </c>
      <c r="E70" s="321"/>
      <c r="F70" s="52"/>
      <c r="G70" s="52"/>
      <c r="H70" s="52"/>
      <c r="I70" s="52"/>
      <c r="J70" s="231"/>
      <c r="K70" s="231"/>
      <c r="L70" s="231"/>
      <c r="M70" s="76"/>
      <c r="N70" s="3153"/>
    </row>
    <row r="71" spans="1:15" ht="12" hidden="1" customHeight="1">
      <c r="A71" s="3134"/>
      <c r="B71" s="1236" t="s">
        <v>18</v>
      </c>
      <c r="C71" s="3147"/>
      <c r="D71" s="53">
        <f>+D73+D72</f>
        <v>0</v>
      </c>
      <c r="E71" s="53">
        <f t="shared" ref="E71" si="88">+E73+E72</f>
        <v>0</v>
      </c>
      <c r="F71" s="53"/>
      <c r="G71" s="53"/>
      <c r="H71" s="53"/>
      <c r="I71" s="53"/>
      <c r="J71" s="275"/>
      <c r="K71" s="275"/>
      <c r="L71" s="275"/>
      <c r="M71" s="347"/>
      <c r="N71" s="3153"/>
    </row>
    <row r="72" spans="1:15" ht="12" hidden="1" customHeight="1">
      <c r="A72" s="3134"/>
      <c r="B72" s="1125" t="s">
        <v>17</v>
      </c>
      <c r="C72" s="3147"/>
      <c r="D72" s="280">
        <f t="shared" ref="D72" si="89">E72+F72+G72+H72+I72+J72+K72+L72</f>
        <v>0</v>
      </c>
      <c r="E72" s="52"/>
      <c r="F72" s="52"/>
      <c r="G72" s="52"/>
      <c r="H72" s="52"/>
      <c r="I72" s="52"/>
      <c r="J72" s="231"/>
      <c r="K72" s="231"/>
      <c r="L72" s="231"/>
      <c r="M72" s="348"/>
      <c r="N72" s="3153"/>
    </row>
    <row r="73" spans="1:15" ht="12" hidden="1" customHeight="1">
      <c r="A73" s="3134"/>
      <c r="B73" s="1237" t="s">
        <v>21</v>
      </c>
      <c r="C73" s="3148"/>
      <c r="D73" s="280">
        <f>SUM(E73:I73)</f>
        <v>0</v>
      </c>
      <c r="E73" s="321"/>
      <c r="F73" s="50"/>
      <c r="G73" s="50"/>
      <c r="H73" s="56"/>
      <c r="I73" s="56"/>
      <c r="J73" s="231"/>
      <c r="K73" s="231"/>
      <c r="L73" s="231"/>
      <c r="M73" s="349"/>
      <c r="N73" s="3154"/>
    </row>
    <row r="74" spans="1:15" ht="12" hidden="1" customHeight="1">
      <c r="A74" s="3135"/>
      <c r="B74" s="86" t="s">
        <v>22</v>
      </c>
      <c r="C74" s="22"/>
      <c r="D74" s="224">
        <f>+D75+D77</f>
        <v>0</v>
      </c>
      <c r="E74" s="224">
        <f>+E75+E77</f>
        <v>0</v>
      </c>
      <c r="F74" s="224"/>
      <c r="G74" s="224"/>
      <c r="H74" s="224"/>
      <c r="I74" s="224"/>
      <c r="J74" s="1238"/>
      <c r="K74" s="1238"/>
      <c r="L74" s="1238"/>
      <c r="M74" s="3000"/>
      <c r="N74" s="3213" t="s">
        <v>256</v>
      </c>
    </row>
    <row r="75" spans="1:15" ht="12" hidden="1" customHeight="1">
      <c r="A75" s="3135"/>
      <c r="B75" s="1235" t="s">
        <v>24</v>
      </c>
      <c r="C75" s="3091" t="s">
        <v>85</v>
      </c>
      <c r="D75" s="57">
        <f>+D76</f>
        <v>0</v>
      </c>
      <c r="E75" s="57">
        <f t="shared" ref="E75" si="90">+E76</f>
        <v>0</v>
      </c>
      <c r="F75" s="57"/>
      <c r="G75" s="57"/>
      <c r="H75" s="57"/>
      <c r="I75" s="57"/>
      <c r="J75" s="275"/>
      <c r="K75" s="275"/>
      <c r="L75" s="275"/>
      <c r="M75" s="3001"/>
      <c r="N75" s="3159"/>
    </row>
    <row r="76" spans="1:15" ht="12" hidden="1" customHeight="1">
      <c r="A76" s="3135"/>
      <c r="B76" s="1125" t="s">
        <v>17</v>
      </c>
      <c r="C76" s="3149"/>
      <c r="D76" s="280">
        <f>SUM(E76:I76)</f>
        <v>0</v>
      </c>
      <c r="E76" s="321"/>
      <c r="F76" s="59"/>
      <c r="G76" s="59"/>
      <c r="H76" s="59"/>
      <c r="I76" s="59"/>
      <c r="J76" s="109"/>
      <c r="K76" s="109"/>
      <c r="L76" s="109"/>
      <c r="M76" s="3001"/>
      <c r="N76" s="3159"/>
    </row>
    <row r="77" spans="1:15" ht="12" hidden="1" customHeight="1">
      <c r="A77" s="3135"/>
      <c r="B77" s="1236" t="s">
        <v>18</v>
      </c>
      <c r="C77" s="3149"/>
      <c r="D77" s="53">
        <f>+D79+D78</f>
        <v>0</v>
      </c>
      <c r="E77" s="53">
        <f t="shared" ref="E77" si="91">+E79+E78</f>
        <v>0</v>
      </c>
      <c r="F77" s="53"/>
      <c r="G77" s="53"/>
      <c r="H77" s="53"/>
      <c r="I77" s="53"/>
      <c r="J77" s="275"/>
      <c r="K77" s="275"/>
      <c r="L77" s="275"/>
      <c r="M77" s="3001"/>
      <c r="N77" s="3159"/>
    </row>
    <row r="78" spans="1:15" ht="12" hidden="1" customHeight="1">
      <c r="A78" s="3135"/>
      <c r="B78" s="1125" t="s">
        <v>17</v>
      </c>
      <c r="C78" s="3149"/>
      <c r="D78" s="280">
        <f>SUM(E78:I78)</f>
        <v>0</v>
      </c>
      <c r="E78" s="321"/>
      <c r="F78" s="52"/>
      <c r="G78" s="52"/>
      <c r="H78" s="52"/>
      <c r="I78" s="52"/>
      <c r="J78" s="231"/>
      <c r="K78" s="231"/>
      <c r="L78" s="231"/>
      <c r="M78" s="3001"/>
      <c r="N78" s="3159"/>
    </row>
    <row r="79" spans="1:15" ht="12" hidden="1" customHeight="1" thickBot="1">
      <c r="A79" s="3136"/>
      <c r="B79" s="84" t="s">
        <v>21</v>
      </c>
      <c r="C79" s="3137"/>
      <c r="D79" s="280">
        <f>SUM(E79:I79)</f>
        <v>0</v>
      </c>
      <c r="E79" s="61"/>
      <c r="F79" s="80"/>
      <c r="G79" s="80"/>
      <c r="H79" s="80"/>
      <c r="I79" s="80"/>
      <c r="J79" s="63"/>
      <c r="K79" s="63"/>
      <c r="L79" s="63"/>
      <c r="M79" s="3002"/>
      <c r="N79" s="3160"/>
    </row>
    <row r="80" spans="1:15" ht="24" hidden="1" customHeight="1">
      <c r="A80" s="3133"/>
      <c r="B80" s="82"/>
      <c r="C80" s="64" t="s">
        <v>81</v>
      </c>
      <c r="D80" s="65"/>
      <c r="E80" s="43"/>
      <c r="F80" s="45"/>
      <c r="G80" s="45"/>
      <c r="H80" s="45"/>
      <c r="I80" s="45"/>
      <c r="J80" s="45"/>
      <c r="K80" s="45"/>
      <c r="L80" s="45"/>
      <c r="M80" s="46"/>
      <c r="N80" s="47" t="s">
        <v>82</v>
      </c>
    </row>
    <row r="81" spans="1:15" ht="12" hidden="1" customHeight="1">
      <c r="A81" s="3134"/>
      <c r="B81" s="86" t="s">
        <v>10</v>
      </c>
      <c r="C81" s="22"/>
      <c r="D81" s="69"/>
      <c r="E81" s="69"/>
      <c r="F81" s="69"/>
      <c r="G81" s="69"/>
      <c r="H81" s="69"/>
      <c r="I81" s="69"/>
      <c r="J81" s="69"/>
      <c r="K81" s="69"/>
      <c r="L81" s="69"/>
      <c r="M81" s="71">
        <f>+M82+M86</f>
        <v>0</v>
      </c>
      <c r="N81" s="3153" t="s">
        <v>83</v>
      </c>
      <c r="O81" s="563" t="e">
        <f>+#REF!+#REF!</f>
        <v>#REF!</v>
      </c>
    </row>
    <row r="82" spans="1:15" ht="12" hidden="1" customHeight="1">
      <c r="A82" s="3134"/>
      <c r="B82" s="1235" t="s">
        <v>24</v>
      </c>
      <c r="C82" s="3091" t="s">
        <v>84</v>
      </c>
      <c r="D82" s="87"/>
      <c r="E82" s="87"/>
      <c r="F82" s="87"/>
      <c r="G82" s="87"/>
      <c r="H82" s="87"/>
      <c r="I82" s="87"/>
      <c r="J82" s="87"/>
      <c r="K82" s="87"/>
      <c r="L82" s="87"/>
      <c r="M82" s="88">
        <f>+M83+M84+M85</f>
        <v>0</v>
      </c>
      <c r="N82" s="3153"/>
    </row>
    <row r="83" spans="1:15" ht="12" hidden="1" customHeight="1">
      <c r="A83" s="3134"/>
      <c r="B83" s="534" t="s">
        <v>12</v>
      </c>
      <c r="C83" s="3147"/>
      <c r="D83" s="280"/>
      <c r="E83" s="321"/>
      <c r="F83" s="52"/>
      <c r="G83" s="52"/>
      <c r="H83" s="52"/>
      <c r="I83" s="52"/>
      <c r="J83" s="52"/>
      <c r="K83" s="52"/>
      <c r="L83" s="52"/>
      <c r="M83" s="37">
        <f>SUM(F83:L83)</f>
        <v>0</v>
      </c>
      <c r="N83" s="3153"/>
    </row>
    <row r="84" spans="1:15" ht="12" hidden="1" customHeight="1">
      <c r="A84" s="3134"/>
      <c r="B84" s="1125" t="s">
        <v>17</v>
      </c>
      <c r="C84" s="3147"/>
      <c r="D84" s="280"/>
      <c r="E84" s="321"/>
      <c r="F84" s="52"/>
      <c r="G84" s="52"/>
      <c r="H84" s="52"/>
      <c r="I84" s="52"/>
      <c r="J84" s="52"/>
      <c r="K84" s="52"/>
      <c r="L84" s="52"/>
      <c r="M84" s="37">
        <f>SUM(F84:L84)</f>
        <v>0</v>
      </c>
      <c r="N84" s="3153"/>
    </row>
    <row r="85" spans="1:15" ht="12" hidden="1" customHeight="1">
      <c r="A85" s="3134"/>
      <c r="B85" s="1125" t="s">
        <v>15</v>
      </c>
      <c r="C85" s="3147"/>
      <c r="D85" s="280"/>
      <c r="E85" s="321"/>
      <c r="F85" s="52"/>
      <c r="G85" s="52"/>
      <c r="H85" s="52"/>
      <c r="I85" s="52"/>
      <c r="J85" s="52"/>
      <c r="K85" s="52"/>
      <c r="L85" s="52"/>
      <c r="M85" s="37">
        <f>SUM(F85:L85)</f>
        <v>0</v>
      </c>
      <c r="N85" s="3153"/>
    </row>
    <row r="86" spans="1:15" ht="12" hidden="1" customHeight="1">
      <c r="A86" s="3134"/>
      <c r="B86" s="1239" t="s">
        <v>18</v>
      </c>
      <c r="C86" s="3147"/>
      <c r="D86" s="53"/>
      <c r="E86" s="53"/>
      <c r="F86" s="53"/>
      <c r="G86" s="53"/>
      <c r="H86" s="53"/>
      <c r="I86" s="53"/>
      <c r="J86" s="53"/>
      <c r="K86" s="53"/>
      <c r="L86" s="53"/>
      <c r="M86" s="88">
        <f>+M88+M87</f>
        <v>0</v>
      </c>
      <c r="N86" s="3153"/>
    </row>
    <row r="87" spans="1:15" ht="12.75" hidden="1" customHeight="1">
      <c r="A87" s="3134"/>
      <c r="B87" s="1125" t="s">
        <v>17</v>
      </c>
      <c r="C87" s="3147"/>
      <c r="D87" s="49"/>
      <c r="E87" s="321"/>
      <c r="F87" s="56"/>
      <c r="G87" s="56"/>
      <c r="H87" s="56"/>
      <c r="I87" s="56"/>
      <c r="J87" s="56"/>
      <c r="K87" s="56"/>
      <c r="L87" s="56"/>
      <c r="M87" s="37">
        <f>SUM(F87:I87)</f>
        <v>0</v>
      </c>
      <c r="N87" s="3153"/>
    </row>
    <row r="88" spans="1:15" ht="12" hidden="1" customHeight="1">
      <c r="A88" s="3134"/>
      <c r="B88" s="534" t="s">
        <v>21</v>
      </c>
      <c r="C88" s="3148"/>
      <c r="D88" s="280"/>
      <c r="E88" s="321"/>
      <c r="F88" s="56"/>
      <c r="G88" s="56"/>
      <c r="H88" s="56"/>
      <c r="I88" s="56"/>
      <c r="J88" s="56"/>
      <c r="K88" s="56"/>
      <c r="L88" s="56"/>
      <c r="M88" s="37">
        <f>SUM(F88:L88)</f>
        <v>0</v>
      </c>
      <c r="N88" s="3154"/>
    </row>
    <row r="89" spans="1:15" hidden="1">
      <c r="A89" s="3135"/>
      <c r="B89" s="89" t="s">
        <v>22</v>
      </c>
      <c r="C89" s="22"/>
      <c r="D89" s="224"/>
      <c r="E89" s="224"/>
      <c r="F89" s="224"/>
      <c r="G89" s="224"/>
      <c r="H89" s="224"/>
      <c r="I89" s="224"/>
      <c r="J89" s="224"/>
      <c r="K89" s="224"/>
      <c r="L89" s="224"/>
      <c r="M89" s="3121" t="s">
        <v>23</v>
      </c>
      <c r="N89" s="3213" t="s">
        <v>256</v>
      </c>
      <c r="O89" s="563">
        <v>-34928177</v>
      </c>
    </row>
    <row r="90" spans="1:15" hidden="1">
      <c r="A90" s="3135"/>
      <c r="B90" s="1235" t="s">
        <v>24</v>
      </c>
      <c r="C90" s="3091" t="s">
        <v>85</v>
      </c>
      <c r="D90" s="57"/>
      <c r="E90" s="57"/>
      <c r="F90" s="57"/>
      <c r="G90" s="57"/>
      <c r="H90" s="57"/>
      <c r="I90" s="57"/>
      <c r="J90" s="57"/>
      <c r="K90" s="57"/>
      <c r="L90" s="57"/>
      <c r="M90" s="3122"/>
      <c r="N90" s="3159"/>
    </row>
    <row r="91" spans="1:15" ht="12" hidden="1" customHeight="1">
      <c r="A91" s="3135"/>
      <c r="B91" s="1125" t="s">
        <v>17</v>
      </c>
      <c r="C91" s="3149"/>
      <c r="D91" s="280"/>
      <c r="E91" s="321"/>
      <c r="F91" s="344"/>
      <c r="G91" s="344"/>
      <c r="H91" s="344"/>
      <c r="I91" s="344"/>
      <c r="J91" s="344"/>
      <c r="K91" s="344"/>
      <c r="L91" s="344"/>
      <c r="M91" s="3122"/>
      <c r="N91" s="3159"/>
    </row>
    <row r="92" spans="1:15" ht="10.5" hidden="1" customHeight="1">
      <c r="A92" s="3135"/>
      <c r="B92" s="1125" t="s">
        <v>15</v>
      </c>
      <c r="C92" s="3149"/>
      <c r="D92" s="280"/>
      <c r="E92" s="321"/>
      <c r="F92" s="52"/>
      <c r="G92" s="52"/>
      <c r="H92" s="52"/>
      <c r="I92" s="52"/>
      <c r="J92" s="52"/>
      <c r="K92" s="52"/>
      <c r="L92" s="52"/>
      <c r="M92" s="3122"/>
      <c r="N92" s="3159"/>
    </row>
    <row r="93" spans="1:15" ht="12" hidden="1" customHeight="1">
      <c r="A93" s="3135"/>
      <c r="B93" s="1239" t="s">
        <v>18</v>
      </c>
      <c r="C93" s="3149"/>
      <c r="D93" s="1123"/>
      <c r="E93" s="1123"/>
      <c r="F93" s="1123"/>
      <c r="G93" s="1123"/>
      <c r="H93" s="1123"/>
      <c r="I93" s="1123"/>
      <c r="J93" s="1123"/>
      <c r="K93" s="1123"/>
      <c r="L93" s="1123"/>
      <c r="M93" s="3122"/>
      <c r="N93" s="3159"/>
    </row>
    <row r="94" spans="1:15" ht="12" hidden="1" customHeight="1" thickBot="1">
      <c r="A94" s="3135"/>
      <c r="B94" s="1125" t="s">
        <v>17</v>
      </c>
      <c r="C94" s="3149"/>
      <c r="D94" s="59"/>
      <c r="E94" s="51"/>
      <c r="F94" s="344"/>
      <c r="G94" s="344"/>
      <c r="H94" s="344"/>
      <c r="I94" s="344"/>
      <c r="J94" s="344"/>
      <c r="K94" s="344"/>
      <c r="L94" s="344"/>
      <c r="M94" s="3123"/>
      <c r="N94" s="3159"/>
    </row>
    <row r="95" spans="1:15" ht="12.75" hidden="1" customHeight="1" thickBot="1">
      <c r="A95" s="3136"/>
      <c r="B95" s="84" t="s">
        <v>21</v>
      </c>
      <c r="C95" s="3137"/>
      <c r="D95" s="280"/>
      <c r="E95" s="321"/>
      <c r="F95" s="63"/>
      <c r="G95" s="63"/>
      <c r="H95" s="63"/>
      <c r="I95" s="63"/>
      <c r="J95" s="63"/>
      <c r="K95" s="63"/>
      <c r="L95" s="63"/>
      <c r="M95" s="1241"/>
      <c r="N95" s="3160"/>
    </row>
    <row r="96" spans="1:15" s="298" customFormat="1" ht="19.5" customHeight="1" thickBot="1">
      <c r="A96" s="567"/>
      <c r="B96" s="314" t="s">
        <v>423</v>
      </c>
      <c r="C96" s="568"/>
      <c r="D96" s="1263"/>
      <c r="E96" s="2783"/>
      <c r="F96" s="1264"/>
      <c r="G96" s="1264"/>
      <c r="H96" s="1264"/>
      <c r="I96" s="1264"/>
      <c r="J96" s="1264"/>
      <c r="K96" s="1264"/>
      <c r="L96" s="1264"/>
      <c r="M96" s="569"/>
      <c r="N96" s="570"/>
    </row>
    <row r="97" spans="1:18" ht="27" customHeight="1">
      <c r="A97" s="3188" t="s">
        <v>63</v>
      </c>
      <c r="B97" s="506" t="s">
        <v>562</v>
      </c>
      <c r="C97" s="64" t="s">
        <v>81</v>
      </c>
      <c r="D97" s="65"/>
      <c r="E97" s="43"/>
      <c r="F97" s="45"/>
      <c r="G97" s="45"/>
      <c r="H97" s="45"/>
      <c r="I97" s="45"/>
      <c r="J97" s="45"/>
      <c r="K97" s="45"/>
      <c r="L97" s="45"/>
      <c r="M97" s="46"/>
      <c r="N97" s="47" t="s">
        <v>82</v>
      </c>
    </row>
    <row r="98" spans="1:18" ht="13.5" customHeight="1">
      <c r="A98" s="3189"/>
      <c r="B98" s="21" t="s">
        <v>10</v>
      </c>
      <c r="C98" s="22"/>
      <c r="D98" s="69">
        <f t="shared" ref="D98" si="92">+D99+D102</f>
        <v>15924504</v>
      </c>
      <c r="E98" s="69">
        <f>+E99+E102</f>
        <v>15847443</v>
      </c>
      <c r="F98" s="69">
        <f>+F99+F102</f>
        <v>77061</v>
      </c>
      <c r="G98" s="69"/>
      <c r="H98" s="69"/>
      <c r="I98" s="69"/>
      <c r="J98" s="69"/>
      <c r="K98" s="69"/>
      <c r="L98" s="69"/>
      <c r="M98" s="71">
        <f>+M99+M102</f>
        <v>77061</v>
      </c>
      <c r="N98" s="3153" t="s">
        <v>83</v>
      </c>
    </row>
    <row r="99" spans="1:18" ht="12" customHeight="1">
      <c r="A99" s="3189"/>
      <c r="B99" s="189" t="s">
        <v>24</v>
      </c>
      <c r="C99" s="3091" t="s">
        <v>84</v>
      </c>
      <c r="D99" s="72">
        <f t="shared" ref="D99" si="93">+D100+D101</f>
        <v>8116891</v>
      </c>
      <c r="E99" s="72">
        <f>+E100+E101</f>
        <v>8039830</v>
      </c>
      <c r="F99" s="72">
        <f>+F100+F101</f>
        <v>77061</v>
      </c>
      <c r="G99" s="72"/>
      <c r="H99" s="72"/>
      <c r="I99" s="72"/>
      <c r="J99" s="72"/>
      <c r="K99" s="72"/>
      <c r="L99" s="72"/>
      <c r="M99" s="88">
        <f>+M100+M101</f>
        <v>77061</v>
      </c>
      <c r="N99" s="3153"/>
    </row>
    <row r="100" spans="1:18" ht="12" customHeight="1">
      <c r="A100" s="3189"/>
      <c r="B100" s="520" t="s">
        <v>12</v>
      </c>
      <c r="C100" s="3149"/>
      <c r="D100" s="280">
        <f>E100+F100+G100+H100+I100+J100+K100+L100</f>
        <v>309278</v>
      </c>
      <c r="E100" s="321">
        <v>232217</v>
      </c>
      <c r="F100" s="97">
        <f>51861+97966+27234-100000</f>
        <v>77061</v>
      </c>
      <c r="G100" s="52"/>
      <c r="H100" s="52"/>
      <c r="I100" s="52"/>
      <c r="J100" s="52"/>
      <c r="K100" s="52"/>
      <c r="L100" s="52"/>
      <c r="M100" s="37">
        <f>SUM(F100:L100)</f>
        <v>77061</v>
      </c>
      <c r="N100" s="3153"/>
    </row>
    <row r="101" spans="1:18" ht="12" customHeight="1">
      <c r="A101" s="3189"/>
      <c r="B101" s="1234" t="s">
        <v>17</v>
      </c>
      <c r="C101" s="3149"/>
      <c r="D101" s="280">
        <f>E101+F101+G101+H101+I101+J101+K101+L101</f>
        <v>7807613</v>
      </c>
      <c r="E101" s="321">
        <v>7807613</v>
      </c>
      <c r="F101" s="52"/>
      <c r="G101" s="52"/>
      <c r="H101" s="52"/>
      <c r="I101" s="52"/>
      <c r="J101" s="52"/>
      <c r="K101" s="52"/>
      <c r="L101" s="52"/>
      <c r="M101" s="37">
        <f>SUM(F101:L101)</f>
        <v>0</v>
      </c>
      <c r="N101" s="3153"/>
    </row>
    <row r="102" spans="1:18" ht="12" customHeight="1">
      <c r="A102" s="3189"/>
      <c r="B102" s="1126" t="s">
        <v>18</v>
      </c>
      <c r="C102" s="3149"/>
      <c r="D102" s="53">
        <f>+D103+D104</f>
        <v>7807613</v>
      </c>
      <c r="E102" s="53">
        <f t="shared" ref="E102" si="94">+E103+E104</f>
        <v>7807613</v>
      </c>
      <c r="F102" s="53"/>
      <c r="G102" s="53"/>
      <c r="H102" s="53"/>
      <c r="I102" s="53"/>
      <c r="J102" s="53"/>
      <c r="K102" s="53"/>
      <c r="L102" s="53"/>
      <c r="M102" s="88">
        <f>+M103+M104</f>
        <v>0</v>
      </c>
      <c r="N102" s="3153"/>
    </row>
    <row r="103" spans="1:18" ht="12" hidden="1" customHeight="1">
      <c r="A103" s="3189"/>
      <c r="B103" s="534" t="s">
        <v>17</v>
      </c>
      <c r="C103" s="3149"/>
      <c r="D103" s="280">
        <f>E103+F103+G103+H103+I103+J103+K103+L103</f>
        <v>0</v>
      </c>
      <c r="E103" s="51"/>
      <c r="F103" s="52"/>
      <c r="G103" s="52"/>
      <c r="H103" s="52"/>
      <c r="I103" s="52"/>
      <c r="J103" s="231"/>
      <c r="K103" s="231"/>
      <c r="L103" s="231"/>
      <c r="M103" s="76"/>
      <c r="N103" s="3153"/>
    </row>
    <row r="104" spans="1:18" ht="12" customHeight="1">
      <c r="A104" s="3189"/>
      <c r="B104" s="534" t="s">
        <v>21</v>
      </c>
      <c r="C104" s="3124"/>
      <c r="D104" s="280">
        <f>E104+F104+G104+H104+I104+J104+K104+L104</f>
        <v>7807613</v>
      </c>
      <c r="E104" s="321">
        <v>7807613</v>
      </c>
      <c r="F104" s="52"/>
      <c r="G104" s="52"/>
      <c r="H104" s="52"/>
      <c r="I104" s="52"/>
      <c r="J104" s="52"/>
      <c r="K104" s="52"/>
      <c r="L104" s="52"/>
      <c r="M104" s="37">
        <f>SUM(F104:L104)</f>
        <v>0</v>
      </c>
      <c r="N104" s="3154"/>
    </row>
    <row r="105" spans="1:18" ht="12" customHeight="1">
      <c r="A105" s="3189"/>
      <c r="B105" s="91" t="s">
        <v>22</v>
      </c>
      <c r="C105" s="22"/>
      <c r="D105" s="224">
        <f t="shared" ref="D105" si="95">+D108+D106</f>
        <v>15615226</v>
      </c>
      <c r="E105" s="224">
        <f>+E108+E106</f>
        <v>15615226</v>
      </c>
      <c r="F105" s="224"/>
      <c r="G105" s="224"/>
      <c r="H105" s="224"/>
      <c r="I105" s="224"/>
      <c r="J105" s="2206"/>
      <c r="K105" s="2206"/>
      <c r="L105" s="2206"/>
      <c r="M105" s="3121" t="s">
        <v>23</v>
      </c>
      <c r="N105" s="3213" t="s">
        <v>257</v>
      </c>
      <c r="O105" s="563">
        <v>0</v>
      </c>
    </row>
    <row r="106" spans="1:18" ht="12" customHeight="1">
      <c r="A106" s="3189"/>
      <c r="B106" s="797" t="s">
        <v>24</v>
      </c>
      <c r="C106" s="3091" t="s">
        <v>85</v>
      </c>
      <c r="D106" s="53">
        <f t="shared" ref="D106:E106" si="96">+D107</f>
        <v>7807613</v>
      </c>
      <c r="E106" s="53">
        <f t="shared" si="96"/>
        <v>7807613</v>
      </c>
      <c r="F106" s="53"/>
      <c r="G106" s="53"/>
      <c r="H106" s="53"/>
      <c r="I106" s="53"/>
      <c r="J106" s="53"/>
      <c r="K106" s="53"/>
      <c r="L106" s="53"/>
      <c r="M106" s="3122"/>
      <c r="N106" s="3159"/>
    </row>
    <row r="107" spans="1:18" ht="12" customHeight="1">
      <c r="A107" s="3189"/>
      <c r="B107" s="1125" t="s">
        <v>17</v>
      </c>
      <c r="C107" s="3149"/>
      <c r="D107" s="280">
        <f>E107+F107+G107+H107+I107+J107+K107+L107</f>
        <v>7807613</v>
      </c>
      <c r="E107" s="321">
        <v>7807613</v>
      </c>
      <c r="F107" s="59"/>
      <c r="G107" s="59"/>
      <c r="H107" s="59"/>
      <c r="I107" s="53"/>
      <c r="J107" s="53"/>
      <c r="K107" s="53"/>
      <c r="L107" s="53"/>
      <c r="M107" s="3122"/>
      <c r="N107" s="3159"/>
    </row>
    <row r="108" spans="1:18" ht="12" customHeight="1">
      <c r="A108" s="3189"/>
      <c r="B108" s="577" t="s">
        <v>18</v>
      </c>
      <c r="C108" s="3149"/>
      <c r="D108" s="1123">
        <f t="shared" ref="D108:E108" si="97">+D109+D110</f>
        <v>7807613</v>
      </c>
      <c r="E108" s="1123">
        <f t="shared" si="97"/>
        <v>7807613</v>
      </c>
      <c r="F108" s="1128"/>
      <c r="G108" s="1128"/>
      <c r="H108" s="1128"/>
      <c r="I108" s="59"/>
      <c r="J108" s="59"/>
      <c r="K108" s="59"/>
      <c r="L108" s="59"/>
      <c r="M108" s="3122"/>
      <c r="N108" s="3159"/>
    </row>
    <row r="109" spans="1:18" ht="12" hidden="1" customHeight="1">
      <c r="A109" s="3189"/>
      <c r="B109" s="534" t="s">
        <v>17</v>
      </c>
      <c r="C109" s="3149"/>
      <c r="D109" s="280">
        <f>E109+F109+G109+H109+I109+J109+K109+L109</f>
        <v>0</v>
      </c>
      <c r="E109" s="58"/>
      <c r="F109" s="59"/>
      <c r="G109" s="59"/>
      <c r="H109" s="59"/>
      <c r="I109" s="1128"/>
      <c r="J109" s="1128"/>
      <c r="K109" s="1128"/>
      <c r="L109" s="1128"/>
      <c r="M109" s="3122"/>
      <c r="N109" s="3159"/>
    </row>
    <row r="110" spans="1:18" ht="13.5" thickBot="1">
      <c r="A110" s="3190"/>
      <c r="B110" s="2207" t="s">
        <v>21</v>
      </c>
      <c r="C110" s="3137"/>
      <c r="D110" s="280">
        <f>E110+F110+G110+H110+I110+J110+K110+L110</f>
        <v>7807613</v>
      </c>
      <c r="E110" s="321">
        <v>7807613</v>
      </c>
      <c r="F110" s="2208"/>
      <c r="G110" s="2208"/>
      <c r="H110" s="2208"/>
      <c r="I110" s="59"/>
      <c r="J110" s="59"/>
      <c r="K110" s="59"/>
      <c r="L110" s="59"/>
      <c r="M110" s="3123"/>
      <c r="N110" s="3160"/>
    </row>
    <row r="111" spans="1:18" ht="25.5" customHeight="1">
      <c r="A111" s="3133" t="s">
        <v>64</v>
      </c>
      <c r="B111" s="82" t="s">
        <v>394</v>
      </c>
      <c r="C111" s="64" t="s">
        <v>81</v>
      </c>
      <c r="D111" s="65"/>
      <c r="E111" s="44"/>
      <c r="F111" s="43"/>
      <c r="G111" s="43"/>
      <c r="H111" s="266"/>
      <c r="I111" s="44"/>
      <c r="J111" s="266"/>
      <c r="K111" s="266"/>
      <c r="L111" s="266"/>
      <c r="M111" s="68"/>
      <c r="N111" s="47" t="s">
        <v>82</v>
      </c>
      <c r="R111" s="1242"/>
    </row>
    <row r="112" spans="1:18" ht="13.5" customHeight="1">
      <c r="A112" s="3134"/>
      <c r="B112" s="89" t="s">
        <v>10</v>
      </c>
      <c r="C112" s="22"/>
      <c r="D112" s="69">
        <f>+D113+D116</f>
        <v>43928360</v>
      </c>
      <c r="E112" s="69">
        <f>+E113+E116</f>
        <v>43348360</v>
      </c>
      <c r="F112" s="69">
        <f>+F113+F116</f>
        <v>580000</v>
      </c>
      <c r="G112" s="69"/>
      <c r="H112" s="69"/>
      <c r="I112" s="69"/>
      <c r="J112" s="69"/>
      <c r="K112" s="69"/>
      <c r="L112" s="69"/>
      <c r="M112" s="71">
        <f>+M113+M116</f>
        <v>580000</v>
      </c>
      <c r="N112" s="3153" t="s">
        <v>83</v>
      </c>
      <c r="O112" s="563"/>
      <c r="P112" s="563"/>
      <c r="Q112" s="563"/>
      <c r="R112" s="563"/>
    </row>
    <row r="113" spans="1:15" ht="12" customHeight="1">
      <c r="A113" s="3134"/>
      <c r="B113" s="256" t="s">
        <v>24</v>
      </c>
      <c r="C113" s="3091" t="s">
        <v>84</v>
      </c>
      <c r="D113" s="72">
        <f>+D114+D115</f>
        <v>4857513</v>
      </c>
      <c r="E113" s="72">
        <f>+E114+E115</f>
        <v>4277513</v>
      </c>
      <c r="F113" s="72">
        <f>+F114+F115</f>
        <v>580000</v>
      </c>
      <c r="G113" s="72"/>
      <c r="H113" s="72"/>
      <c r="I113" s="72"/>
      <c r="J113" s="72"/>
      <c r="K113" s="72"/>
      <c r="L113" s="72"/>
      <c r="M113" s="73">
        <f>+M114+M115</f>
        <v>580000</v>
      </c>
      <c r="N113" s="3153"/>
    </row>
    <row r="114" spans="1:15" ht="12" customHeight="1">
      <c r="A114" s="3134"/>
      <c r="B114" s="534" t="s">
        <v>12</v>
      </c>
      <c r="C114" s="3149"/>
      <c r="D114" s="280">
        <f>E114+F114+G114+H114+I114+J114+K114+L114</f>
        <v>1285445</v>
      </c>
      <c r="E114" s="321">
        <v>705445</v>
      </c>
      <c r="F114" s="97">
        <f>200000+173044+206956</f>
        <v>580000</v>
      </c>
      <c r="G114" s="52"/>
      <c r="H114" s="52"/>
      <c r="I114" s="52"/>
      <c r="J114" s="52"/>
      <c r="K114" s="52"/>
      <c r="L114" s="52"/>
      <c r="M114" s="37">
        <f>SUM(F114:L114)</f>
        <v>580000</v>
      </c>
      <c r="N114" s="3153"/>
    </row>
    <row r="115" spans="1:15" ht="12" customHeight="1">
      <c r="A115" s="3134"/>
      <c r="B115" s="534" t="s">
        <v>17</v>
      </c>
      <c r="C115" s="3149"/>
      <c r="D115" s="280">
        <f>E115+F115+G115+H115+I115+J115+K115+L115</f>
        <v>3572068</v>
      </c>
      <c r="E115" s="321">
        <v>3572068</v>
      </c>
      <c r="F115" s="52"/>
      <c r="G115" s="52"/>
      <c r="H115" s="52"/>
      <c r="I115" s="52"/>
      <c r="J115" s="52"/>
      <c r="K115" s="52"/>
      <c r="L115" s="52"/>
      <c r="M115" s="37">
        <f>SUM(F115:L115)</f>
        <v>0</v>
      </c>
      <c r="N115" s="3153"/>
    </row>
    <row r="116" spans="1:15" ht="12" customHeight="1">
      <c r="A116" s="3134"/>
      <c r="B116" s="1239" t="s">
        <v>18</v>
      </c>
      <c r="C116" s="3149"/>
      <c r="D116" s="53">
        <f>+D117</f>
        <v>39070847</v>
      </c>
      <c r="E116" s="53">
        <f t="shared" ref="E116" si="98">+E117</f>
        <v>39070847</v>
      </c>
      <c r="F116" s="53"/>
      <c r="G116" s="53"/>
      <c r="H116" s="53"/>
      <c r="I116" s="53"/>
      <c r="J116" s="53"/>
      <c r="K116" s="53"/>
      <c r="L116" s="53"/>
      <c r="M116" s="73">
        <f>+M117</f>
        <v>0</v>
      </c>
      <c r="N116" s="3153"/>
    </row>
    <row r="117" spans="1:15" ht="12" customHeight="1">
      <c r="A117" s="3134"/>
      <c r="B117" s="534" t="s">
        <v>21</v>
      </c>
      <c r="C117" s="295"/>
      <c r="D117" s="2205">
        <f>E117+F117+G117+H117+I117+J117+K117+L117</f>
        <v>39070847</v>
      </c>
      <c r="E117" s="321">
        <v>39070847</v>
      </c>
      <c r="F117" s="52"/>
      <c r="G117" s="52"/>
      <c r="H117" s="52"/>
      <c r="I117" s="52"/>
      <c r="J117" s="52"/>
      <c r="K117" s="52"/>
      <c r="L117" s="52"/>
      <c r="M117" s="37">
        <f>SUM(F117:L117)</f>
        <v>0</v>
      </c>
      <c r="N117" s="3154"/>
    </row>
    <row r="118" spans="1:15" ht="12" customHeight="1">
      <c r="A118" s="3134"/>
      <c r="B118" s="208" t="s">
        <v>22</v>
      </c>
      <c r="C118" s="101"/>
      <c r="D118" s="116">
        <f t="shared" ref="D118" si="99">+D121+D119</f>
        <v>42642915</v>
      </c>
      <c r="E118" s="116">
        <f>+E121+E119</f>
        <v>42642915</v>
      </c>
      <c r="F118" s="116"/>
      <c r="G118" s="116"/>
      <c r="H118" s="116"/>
      <c r="I118" s="116"/>
      <c r="J118" s="116"/>
      <c r="K118" s="116"/>
      <c r="L118" s="116"/>
      <c r="M118" s="3122" t="s">
        <v>23</v>
      </c>
      <c r="N118" s="3214" t="s">
        <v>257</v>
      </c>
      <c r="O118" s="563"/>
    </row>
    <row r="119" spans="1:15" ht="12" customHeight="1">
      <c r="A119" s="3134"/>
      <c r="B119" s="1235" t="s">
        <v>24</v>
      </c>
      <c r="C119" s="3091" t="s">
        <v>85</v>
      </c>
      <c r="D119" s="53">
        <f t="shared" ref="D119:E119" si="100">+D120</f>
        <v>3572068</v>
      </c>
      <c r="E119" s="53">
        <f t="shared" si="100"/>
        <v>3572068</v>
      </c>
      <c r="F119" s="53"/>
      <c r="G119" s="53"/>
      <c r="H119" s="53"/>
      <c r="I119" s="53"/>
      <c r="J119" s="53"/>
      <c r="K119" s="53"/>
      <c r="L119" s="53"/>
      <c r="M119" s="3122"/>
      <c r="N119" s="3153"/>
    </row>
    <row r="120" spans="1:15" ht="12" customHeight="1">
      <c r="A120" s="3134"/>
      <c r="B120" s="1125" t="s">
        <v>17</v>
      </c>
      <c r="C120" s="3149"/>
      <c r="D120" s="280">
        <f>E120+F120+G120+H120+I120+J120+K120+L120</f>
        <v>3572068</v>
      </c>
      <c r="E120" s="321">
        <v>3572068</v>
      </c>
      <c r="F120" s="59"/>
      <c r="G120" s="59"/>
      <c r="H120" s="59"/>
      <c r="I120" s="59"/>
      <c r="J120" s="59"/>
      <c r="K120" s="59"/>
      <c r="L120" s="59"/>
      <c r="M120" s="3122"/>
      <c r="N120" s="3153"/>
    </row>
    <row r="121" spans="1:15" ht="12" customHeight="1">
      <c r="A121" s="3134"/>
      <c r="B121" s="1239" t="s">
        <v>18</v>
      </c>
      <c r="C121" s="3149"/>
      <c r="D121" s="1123">
        <f>+D122</f>
        <v>39070847</v>
      </c>
      <c r="E121" s="1123">
        <f t="shared" ref="E121" si="101">+E122</f>
        <v>39070847</v>
      </c>
      <c r="F121" s="1123"/>
      <c r="G121" s="1123"/>
      <c r="H121" s="1123"/>
      <c r="I121" s="1123"/>
      <c r="J121" s="1123"/>
      <c r="K121" s="1123"/>
      <c r="L121" s="1123"/>
      <c r="M121" s="3122"/>
      <c r="N121" s="3153"/>
    </row>
    <row r="122" spans="1:15" ht="12" customHeight="1" thickBot="1">
      <c r="A122" s="3171"/>
      <c r="B122" s="84" t="s">
        <v>21</v>
      </c>
      <c r="C122" s="3137"/>
      <c r="D122" s="280">
        <f>E122+F122+G122+H122+I122+J122+K122+L122</f>
        <v>39070847</v>
      </c>
      <c r="E122" s="321">
        <v>39070847</v>
      </c>
      <c r="F122" s="99"/>
      <c r="G122" s="99"/>
      <c r="H122" s="99"/>
      <c r="I122" s="99"/>
      <c r="J122" s="99"/>
      <c r="K122" s="99"/>
      <c r="L122" s="99"/>
      <c r="M122" s="3123"/>
      <c r="N122" s="3207"/>
    </row>
    <row r="123" spans="1:15" hidden="1">
      <c r="A123" s="3133"/>
      <c r="B123" s="82"/>
      <c r="C123" s="64" t="s">
        <v>81</v>
      </c>
      <c r="D123" s="66"/>
      <c r="E123" s="45"/>
      <c r="F123" s="45"/>
      <c r="G123" s="45"/>
      <c r="H123" s="45"/>
      <c r="I123" s="45"/>
      <c r="J123" s="45"/>
      <c r="K123" s="45"/>
      <c r="L123" s="45"/>
      <c r="M123" s="46"/>
      <c r="N123" s="100"/>
    </row>
    <row r="124" spans="1:15" ht="13.5" hidden="1" customHeight="1">
      <c r="A124" s="3134"/>
      <c r="B124" s="86" t="s">
        <v>10</v>
      </c>
      <c r="C124" s="22"/>
      <c r="D124" s="69">
        <f t="shared" ref="D124" si="102">+D125+D127</f>
        <v>0</v>
      </c>
      <c r="E124" s="70">
        <f>+E125+E127</f>
        <v>0</v>
      </c>
      <c r="F124" s="70"/>
      <c r="G124" s="70"/>
      <c r="H124" s="70"/>
      <c r="I124" s="70"/>
      <c r="J124" s="70"/>
      <c r="K124" s="70"/>
      <c r="L124" s="70"/>
      <c r="M124" s="71">
        <f>+M125+M127</f>
        <v>0</v>
      </c>
      <c r="N124" s="3153" t="s">
        <v>87</v>
      </c>
      <c r="O124" s="563"/>
    </row>
    <row r="125" spans="1:15" hidden="1">
      <c r="A125" s="3134"/>
      <c r="B125" s="1235" t="s">
        <v>24</v>
      </c>
      <c r="C125" s="3091" t="s">
        <v>84</v>
      </c>
      <c r="D125" s="111">
        <f>+D126</f>
        <v>0</v>
      </c>
      <c r="E125" s="111">
        <f t="shared" ref="E125" si="103">+E126</f>
        <v>0</v>
      </c>
      <c r="F125" s="111"/>
      <c r="G125" s="111"/>
      <c r="H125" s="111"/>
      <c r="I125" s="111"/>
      <c r="J125" s="111"/>
      <c r="K125" s="111"/>
      <c r="L125" s="111"/>
      <c r="M125" s="88">
        <f>+M126</f>
        <v>0</v>
      </c>
      <c r="N125" s="3153"/>
      <c r="O125" s="563"/>
    </row>
    <row r="126" spans="1:15" hidden="1">
      <c r="A126" s="3134"/>
      <c r="B126" s="1125" t="s">
        <v>12</v>
      </c>
      <c r="C126" s="3147"/>
      <c r="D126" s="2205">
        <f>E126+F126+G126+H126+I126+J126+K126+L126</f>
        <v>0</v>
      </c>
      <c r="E126" s="321"/>
      <c r="F126" s="52"/>
      <c r="G126" s="52"/>
      <c r="H126" s="52"/>
      <c r="I126" s="52"/>
      <c r="J126" s="52"/>
      <c r="K126" s="52"/>
      <c r="L126" s="52"/>
      <c r="M126" s="37">
        <f>SUM(F126:I126)</f>
        <v>0</v>
      </c>
      <c r="N126" s="3153"/>
    </row>
    <row r="127" spans="1:15" hidden="1">
      <c r="A127" s="3134"/>
      <c r="B127" s="1236" t="s">
        <v>18</v>
      </c>
      <c r="C127" s="3147"/>
      <c r="D127" s="53">
        <f>+D128</f>
        <v>0</v>
      </c>
      <c r="E127" s="53">
        <f t="shared" ref="E127" si="104">+E128</f>
        <v>0</v>
      </c>
      <c r="F127" s="53"/>
      <c r="G127" s="53"/>
      <c r="H127" s="53"/>
      <c r="I127" s="53"/>
      <c r="J127" s="53"/>
      <c r="K127" s="53"/>
      <c r="L127" s="53"/>
      <c r="M127" s="88">
        <f>+M128</f>
        <v>0</v>
      </c>
      <c r="N127" s="3153"/>
    </row>
    <row r="128" spans="1:15" hidden="1">
      <c r="A128" s="3134"/>
      <c r="B128" s="1243" t="s">
        <v>21</v>
      </c>
      <c r="C128" s="3148"/>
      <c r="D128" s="2205">
        <f>E128+F128+G128+H128+I128+J128+K128+L128</f>
        <v>0</v>
      </c>
      <c r="E128" s="321"/>
      <c r="F128" s="56"/>
      <c r="G128" s="56"/>
      <c r="H128" s="56"/>
      <c r="I128" s="56"/>
      <c r="J128" s="56"/>
      <c r="K128" s="56"/>
      <c r="L128" s="56"/>
      <c r="M128" s="37">
        <f>SUM(F128:I128)</f>
        <v>0</v>
      </c>
      <c r="N128" s="3154"/>
    </row>
    <row r="129" spans="1:15" ht="12.75" hidden="1" customHeight="1">
      <c r="A129" s="3135"/>
      <c r="B129" s="89" t="s">
        <v>22</v>
      </c>
      <c r="C129" s="22"/>
      <c r="D129" s="224">
        <f>+D130</f>
        <v>0</v>
      </c>
      <c r="E129" s="224">
        <f t="shared" ref="E129:E130" si="105">+E130</f>
        <v>0</v>
      </c>
      <c r="F129" s="224"/>
      <c r="G129" s="224"/>
      <c r="H129" s="224"/>
      <c r="I129" s="224"/>
      <c r="J129" s="224"/>
      <c r="K129" s="224"/>
      <c r="L129" s="224"/>
      <c r="M129" s="3197" t="s">
        <v>23</v>
      </c>
      <c r="N129" s="3213" t="s">
        <v>104</v>
      </c>
    </row>
    <row r="130" spans="1:15" s="298" customFormat="1" ht="12.75" hidden="1" customHeight="1">
      <c r="A130" s="3135"/>
      <c r="B130" s="1239" t="s">
        <v>18</v>
      </c>
      <c r="C130" s="3091" t="s">
        <v>85</v>
      </c>
      <c r="D130" s="1123">
        <f>+D131</f>
        <v>0</v>
      </c>
      <c r="E130" s="1240">
        <f t="shared" si="105"/>
        <v>0</v>
      </c>
      <c r="F130" s="1123"/>
      <c r="G130" s="1123"/>
      <c r="H130" s="1123"/>
      <c r="I130" s="1123"/>
      <c r="J130" s="1123"/>
      <c r="K130" s="1123"/>
      <c r="L130" s="1123"/>
      <c r="M130" s="3198"/>
      <c r="N130" s="3159"/>
    </row>
    <row r="131" spans="1:15" ht="13.5" hidden="1" thickBot="1">
      <c r="A131" s="3136"/>
      <c r="B131" s="84" t="s">
        <v>21</v>
      </c>
      <c r="C131" s="3120"/>
      <c r="D131" s="2205">
        <f>E131+F131+G131+H131+I131+J131+K131+L131</f>
        <v>0</v>
      </c>
      <c r="E131" s="321"/>
      <c r="F131" s="63"/>
      <c r="G131" s="63"/>
      <c r="H131" s="63"/>
      <c r="I131" s="63"/>
      <c r="J131" s="63"/>
      <c r="K131" s="63"/>
      <c r="L131" s="63"/>
      <c r="M131" s="3199"/>
      <c r="N131" s="3160"/>
    </row>
    <row r="132" spans="1:15" ht="21.75" hidden="1" customHeight="1">
      <c r="A132" s="3133"/>
      <c r="B132" s="82"/>
      <c r="C132" s="64" t="s">
        <v>81</v>
      </c>
      <c r="D132" s="1187"/>
      <c r="E132" s="45"/>
      <c r="F132" s="45"/>
      <c r="G132" s="45"/>
      <c r="H132" s="96"/>
      <c r="I132" s="96"/>
      <c r="J132" s="96"/>
      <c r="K132" s="96"/>
      <c r="L132" s="96"/>
      <c r="M132" s="108"/>
      <c r="N132" s="3143" t="s">
        <v>86</v>
      </c>
    </row>
    <row r="133" spans="1:15" ht="13.5" hidden="1" customHeight="1">
      <c r="A133" s="3134"/>
      <c r="B133" s="31" t="s">
        <v>10</v>
      </c>
      <c r="C133" s="22"/>
      <c r="D133" s="69">
        <f>+D134+D137</f>
        <v>0</v>
      </c>
      <c r="E133" s="69"/>
      <c r="F133" s="69"/>
      <c r="G133" s="69"/>
      <c r="H133" s="272"/>
      <c r="I133" s="272"/>
      <c r="J133" s="272"/>
      <c r="K133" s="272"/>
      <c r="L133" s="272"/>
      <c r="M133" s="102"/>
      <c r="N133" s="3153"/>
      <c r="O133" s="563"/>
    </row>
    <row r="134" spans="1:15" ht="13.5" hidden="1" customHeight="1">
      <c r="A134" s="3134"/>
      <c r="B134" s="797" t="s">
        <v>24</v>
      </c>
      <c r="C134" s="3091" t="s">
        <v>84</v>
      </c>
      <c r="D134" s="1244">
        <f>+D135+D136</f>
        <v>0</v>
      </c>
      <c r="E134" s="1244"/>
      <c r="F134" s="1244"/>
      <c r="G134" s="1244"/>
      <c r="H134" s="1245"/>
      <c r="I134" s="1245"/>
      <c r="J134" s="1245"/>
      <c r="K134" s="1245"/>
      <c r="L134" s="1245"/>
      <c r="M134" s="74"/>
      <c r="N134" s="3153"/>
      <c r="O134" s="563"/>
    </row>
    <row r="135" spans="1:15" hidden="1">
      <c r="A135" s="3134"/>
      <c r="B135" s="1125" t="s">
        <v>12</v>
      </c>
      <c r="C135" s="3147"/>
      <c r="D135" s="2205">
        <f t="shared" ref="D135:D136" si="106">E135+F135+G135+H135+I135+J135+K135+L135</f>
        <v>0</v>
      </c>
      <c r="E135" s="83"/>
      <c r="F135" s="52"/>
      <c r="G135" s="52"/>
      <c r="H135" s="231"/>
      <c r="I135" s="231"/>
      <c r="J135" s="231"/>
      <c r="K135" s="231"/>
      <c r="L135" s="231"/>
      <c r="M135" s="76"/>
      <c r="N135" s="3153"/>
    </row>
    <row r="136" spans="1:15" ht="10.5" hidden="1" customHeight="1">
      <c r="A136" s="3134"/>
      <c r="B136" s="103" t="s">
        <v>15</v>
      </c>
      <c r="C136" s="3147"/>
      <c r="D136" s="2205">
        <f t="shared" si="106"/>
        <v>0</v>
      </c>
      <c r="E136" s="50"/>
      <c r="F136" s="50"/>
      <c r="G136" s="50"/>
      <c r="H136" s="231"/>
      <c r="I136" s="231"/>
      <c r="J136" s="231"/>
      <c r="K136" s="231"/>
      <c r="L136" s="231"/>
      <c r="M136" s="76"/>
      <c r="N136" s="3153"/>
    </row>
    <row r="137" spans="1:15" ht="12.75" hidden="1" customHeight="1">
      <c r="A137" s="3134"/>
      <c r="B137" s="577" t="s">
        <v>18</v>
      </c>
      <c r="C137" s="3147"/>
      <c r="D137" s="53">
        <f>+D138</f>
        <v>0</v>
      </c>
      <c r="E137" s="53"/>
      <c r="F137" s="53"/>
      <c r="G137" s="53"/>
      <c r="H137" s="275"/>
      <c r="I137" s="275"/>
      <c r="J137" s="275"/>
      <c r="K137" s="275"/>
      <c r="L137" s="275"/>
      <c r="M137" s="74"/>
      <c r="N137" s="3153"/>
    </row>
    <row r="138" spans="1:15" ht="11.25" hidden="1" customHeight="1">
      <c r="A138" s="3134"/>
      <c r="B138" s="1243" t="s">
        <v>21</v>
      </c>
      <c r="C138" s="3148"/>
      <c r="D138" s="2205">
        <f>E138+F138+G138+H138+I138+J138+K138+L138</f>
        <v>0</v>
      </c>
      <c r="E138" s="50"/>
      <c r="F138" s="56"/>
      <c r="G138" s="56"/>
      <c r="H138" s="231"/>
      <c r="I138" s="231"/>
      <c r="J138" s="231"/>
      <c r="K138" s="231"/>
      <c r="L138" s="231"/>
      <c r="M138" s="76"/>
      <c r="N138" s="3153"/>
    </row>
    <row r="139" spans="1:15" ht="12.75" hidden="1" customHeight="1">
      <c r="A139" s="3135"/>
      <c r="B139" s="21" t="s">
        <v>22</v>
      </c>
      <c r="C139" s="22"/>
      <c r="D139" s="224">
        <f>+D142+D140</f>
        <v>0</v>
      </c>
      <c r="E139" s="224"/>
      <c r="F139" s="224"/>
      <c r="G139" s="224"/>
      <c r="H139" s="1246"/>
      <c r="I139" s="1246"/>
      <c r="J139" s="1246"/>
      <c r="K139" s="1246"/>
      <c r="L139" s="1246"/>
      <c r="M139" s="1247"/>
      <c r="N139" s="3211"/>
    </row>
    <row r="140" spans="1:15" ht="13.5" hidden="1" customHeight="1">
      <c r="A140" s="3135"/>
      <c r="B140" s="797" t="s">
        <v>24</v>
      </c>
      <c r="C140" s="3091" t="s">
        <v>85</v>
      </c>
      <c r="D140" s="57">
        <f>+D141</f>
        <v>0</v>
      </c>
      <c r="E140" s="57"/>
      <c r="F140" s="57"/>
      <c r="G140" s="57"/>
      <c r="H140" s="275"/>
      <c r="I140" s="275"/>
      <c r="J140" s="275"/>
      <c r="K140" s="275"/>
      <c r="L140" s="275"/>
      <c r="M140" s="78"/>
      <c r="N140" s="3211"/>
    </row>
    <row r="141" spans="1:15" ht="11.25" hidden="1" customHeight="1">
      <c r="A141" s="3135"/>
      <c r="B141" s="103" t="s">
        <v>15</v>
      </c>
      <c r="C141" s="3149"/>
      <c r="D141" s="2205">
        <f>E141+F141+G141+H141+I141+J141+K141+L141</f>
        <v>0</v>
      </c>
      <c r="E141" s="59"/>
      <c r="F141" s="59"/>
      <c r="G141" s="59"/>
      <c r="H141" s="109"/>
      <c r="I141" s="109"/>
      <c r="J141" s="109"/>
      <c r="K141" s="109"/>
      <c r="L141" s="109"/>
      <c r="M141" s="105"/>
      <c r="N141" s="3211"/>
    </row>
    <row r="142" spans="1:15" s="298" customFormat="1" ht="12.75" hidden="1" customHeight="1">
      <c r="A142" s="3135"/>
      <c r="B142" s="577" t="s">
        <v>18</v>
      </c>
      <c r="C142" s="3149"/>
      <c r="D142" s="1123">
        <f>+D143</f>
        <v>0</v>
      </c>
      <c r="E142" s="1123"/>
      <c r="F142" s="1123"/>
      <c r="G142" s="1123"/>
      <c r="H142" s="1248"/>
      <c r="I142" s="1248"/>
      <c r="J142" s="1248"/>
      <c r="K142" s="1248"/>
      <c r="L142" s="1248"/>
      <c r="M142" s="1249"/>
      <c r="N142" s="3211"/>
    </row>
    <row r="143" spans="1:15" ht="13.5" hidden="1" thickBot="1">
      <c r="A143" s="3136"/>
      <c r="B143" s="84" t="s">
        <v>21</v>
      </c>
      <c r="C143" s="3137"/>
      <c r="D143" s="2205">
        <f>E143+F143+G143+H143+I143+J143+K143+L143</f>
        <v>0</v>
      </c>
      <c r="E143" s="80"/>
      <c r="F143" s="63"/>
      <c r="G143" s="63"/>
      <c r="H143" s="63"/>
      <c r="I143" s="63"/>
      <c r="J143" s="63"/>
      <c r="K143" s="63"/>
      <c r="L143" s="63"/>
      <c r="M143" s="1250"/>
      <c r="N143" s="3212"/>
    </row>
    <row r="144" spans="1:15" ht="24.75" customHeight="1">
      <c r="A144" s="3133" t="s">
        <v>65</v>
      </c>
      <c r="B144" s="316" t="s">
        <v>531</v>
      </c>
      <c r="C144" s="64" t="s">
        <v>81</v>
      </c>
      <c r="D144" s="65"/>
      <c r="E144" s="107"/>
      <c r="F144" s="107"/>
      <c r="G144" s="107"/>
      <c r="H144" s="107"/>
      <c r="I144" s="107"/>
      <c r="J144" s="107"/>
      <c r="K144" s="107"/>
      <c r="L144" s="107"/>
      <c r="M144" s="46"/>
      <c r="N144" s="100"/>
    </row>
    <row r="145" spans="1:15" ht="13.5" customHeight="1">
      <c r="A145" s="3134"/>
      <c r="B145" s="495" t="s">
        <v>10</v>
      </c>
      <c r="C145" s="551"/>
      <c r="D145" s="552">
        <f>+D146+D149</f>
        <v>21340701</v>
      </c>
      <c r="E145" s="552">
        <f>+E146+E149</f>
        <v>21203332</v>
      </c>
      <c r="F145" s="552">
        <f>+F146+F149</f>
        <v>137369</v>
      </c>
      <c r="G145" s="552"/>
      <c r="H145" s="552"/>
      <c r="I145" s="552"/>
      <c r="J145" s="552"/>
      <c r="K145" s="552"/>
      <c r="L145" s="552"/>
      <c r="M145" s="553">
        <f>+M146+M149</f>
        <v>137369</v>
      </c>
      <c r="N145" s="3153" t="s">
        <v>87</v>
      </c>
      <c r="O145" s="563"/>
    </row>
    <row r="146" spans="1:15" ht="12.75" customHeight="1">
      <c r="A146" s="3134"/>
      <c r="B146" s="189" t="s">
        <v>24</v>
      </c>
      <c r="C146" s="3178" t="s">
        <v>84</v>
      </c>
      <c r="D146" s="2209">
        <f>+D147+D148</f>
        <v>8880167</v>
      </c>
      <c r="E146" s="2209">
        <f>+E147+E148</f>
        <v>8742798</v>
      </c>
      <c r="F146" s="2209">
        <f>+F147+F148</f>
        <v>137369</v>
      </c>
      <c r="G146" s="2209"/>
      <c r="H146" s="2209"/>
      <c r="I146" s="2209"/>
      <c r="J146" s="2209"/>
      <c r="K146" s="2209"/>
      <c r="L146" s="2209"/>
      <c r="M146" s="554">
        <f>M147</f>
        <v>137369</v>
      </c>
      <c r="N146" s="3153"/>
      <c r="O146" s="563"/>
    </row>
    <row r="147" spans="1:15" ht="10.5" customHeight="1">
      <c r="A147" s="3134"/>
      <c r="B147" s="534" t="s">
        <v>12</v>
      </c>
      <c r="C147" s="3149"/>
      <c r="D147" s="280">
        <f>E147+F147+G147+H147+I147+J147+K147+L147</f>
        <v>1390303</v>
      </c>
      <c r="E147" s="321">
        <v>1252934</v>
      </c>
      <c r="F147" s="2212">
        <f>89000+111000-62631</f>
        <v>137369</v>
      </c>
      <c r="G147" s="2211"/>
      <c r="H147" s="2211"/>
      <c r="I147" s="2211"/>
      <c r="J147" s="2211"/>
      <c r="K147" s="2211"/>
      <c r="L147" s="2211"/>
      <c r="M147" s="37">
        <f>SUM(F147:L147)</f>
        <v>137369</v>
      </c>
      <c r="N147" s="3153"/>
    </row>
    <row r="148" spans="1:15">
      <c r="A148" s="3134"/>
      <c r="B148" s="103" t="s">
        <v>15</v>
      </c>
      <c r="C148" s="3149"/>
      <c r="D148" s="280">
        <f>E148+F148+G148+H148+I148+J148+K148+L148</f>
        <v>7489864</v>
      </c>
      <c r="E148" s="321">
        <v>7489864</v>
      </c>
      <c r="F148" s="2212"/>
      <c r="G148" s="2211"/>
      <c r="H148" s="2211"/>
      <c r="I148" s="2211"/>
      <c r="J148" s="2211"/>
      <c r="K148" s="2211"/>
      <c r="L148" s="2211"/>
      <c r="M148" s="37">
        <f>SUM(F148:L148)</f>
        <v>0</v>
      </c>
      <c r="N148" s="3153"/>
    </row>
    <row r="149" spans="1:15" ht="12" customHeight="1">
      <c r="A149" s="3134"/>
      <c r="B149" s="577" t="s">
        <v>18</v>
      </c>
      <c r="C149" s="3149"/>
      <c r="D149" s="2213">
        <f>+D150</f>
        <v>12460534</v>
      </c>
      <c r="E149" s="2214">
        <f>+E150</f>
        <v>12460534</v>
      </c>
      <c r="F149" s="2214"/>
      <c r="G149" s="2214"/>
      <c r="H149" s="2213"/>
      <c r="I149" s="2213"/>
      <c r="J149" s="2213"/>
      <c r="K149" s="2213"/>
      <c r="L149" s="2213"/>
      <c r="M149" s="554">
        <f>+M150</f>
        <v>0</v>
      </c>
      <c r="N149" s="3153"/>
    </row>
    <row r="150" spans="1:15" ht="11.25" customHeight="1">
      <c r="A150" s="3134"/>
      <c r="B150" s="534" t="s">
        <v>21</v>
      </c>
      <c r="C150" s="3124"/>
      <c r="D150" s="2205">
        <f>E150+F150+G150+H150+I150+J150+K150+L150</f>
        <v>12460534</v>
      </c>
      <c r="E150" s="321">
        <v>12460534</v>
      </c>
      <c r="F150" s="2211"/>
      <c r="G150" s="2211"/>
      <c r="H150" s="2211"/>
      <c r="I150" s="2211"/>
      <c r="J150" s="2211"/>
      <c r="K150" s="2211"/>
      <c r="L150" s="2211"/>
      <c r="M150" s="37">
        <f>SUM(F150:L150)</f>
        <v>0</v>
      </c>
      <c r="N150" s="3154"/>
    </row>
    <row r="151" spans="1:15" ht="12" customHeight="1">
      <c r="A151" s="3135"/>
      <c r="B151" s="91" t="s">
        <v>22</v>
      </c>
      <c r="C151" s="101"/>
      <c r="D151" s="116">
        <f>+D152+D154</f>
        <v>19950398</v>
      </c>
      <c r="E151" s="116">
        <f>+E152+E154</f>
        <v>19950398</v>
      </c>
      <c r="F151" s="116"/>
      <c r="G151" s="116"/>
      <c r="H151" s="116"/>
      <c r="I151" s="116"/>
      <c r="J151" s="116"/>
      <c r="K151" s="116"/>
      <c r="L151" s="116"/>
      <c r="M151" s="3200" t="s">
        <v>23</v>
      </c>
      <c r="N151" s="3186" t="s">
        <v>104</v>
      </c>
      <c r="O151" s="563"/>
    </row>
    <row r="152" spans="1:15" ht="13.5" customHeight="1">
      <c r="A152" s="3135"/>
      <c r="B152" s="556" t="s">
        <v>24</v>
      </c>
      <c r="C152" s="3178" t="s">
        <v>85</v>
      </c>
      <c r="D152" s="57">
        <f>+D153</f>
        <v>7489864</v>
      </c>
      <c r="E152" s="57">
        <f t="shared" ref="E152" si="107">+E153</f>
        <v>7489864</v>
      </c>
      <c r="F152" s="57"/>
      <c r="G152" s="57"/>
      <c r="H152" s="57"/>
      <c r="I152" s="57"/>
      <c r="J152" s="57"/>
      <c r="K152" s="57"/>
      <c r="L152" s="57"/>
      <c r="M152" s="3201"/>
      <c r="N152" s="3159"/>
    </row>
    <row r="153" spans="1:15" ht="13.5" customHeight="1">
      <c r="A153" s="3135"/>
      <c r="B153" s="103" t="s">
        <v>15</v>
      </c>
      <c r="C153" s="3149"/>
      <c r="D153" s="280">
        <f>E153+F153+G153+H153+I153+J153+K153+L153</f>
        <v>7489864</v>
      </c>
      <c r="E153" s="321">
        <v>7489864</v>
      </c>
      <c r="F153" s="2215"/>
      <c r="G153" s="2215"/>
      <c r="H153" s="2215"/>
      <c r="I153" s="2215"/>
      <c r="J153" s="2215"/>
      <c r="K153" s="2215"/>
      <c r="L153" s="2215"/>
      <c r="M153" s="3201"/>
      <c r="N153" s="3159"/>
    </row>
    <row r="154" spans="1:15" s="298" customFormat="1" ht="12.75" customHeight="1">
      <c r="A154" s="3135"/>
      <c r="B154" s="577" t="s">
        <v>18</v>
      </c>
      <c r="C154" s="3149"/>
      <c r="D154" s="1251">
        <f t="shared" ref="D154:E154" si="108">+D155</f>
        <v>12460534</v>
      </c>
      <c r="E154" s="2216">
        <f t="shared" si="108"/>
        <v>12460534</v>
      </c>
      <c r="F154" s="2216"/>
      <c r="G154" s="2216"/>
      <c r="H154" s="2216"/>
      <c r="I154" s="2216"/>
      <c r="J154" s="2216"/>
      <c r="K154" s="2216"/>
      <c r="L154" s="2216"/>
      <c r="M154" s="3201"/>
      <c r="N154" s="3159"/>
    </row>
    <row r="155" spans="1:15" ht="12.75" customHeight="1" thickBot="1">
      <c r="A155" s="3136"/>
      <c r="B155" s="84" t="s">
        <v>21</v>
      </c>
      <c r="C155" s="3137"/>
      <c r="D155" s="280">
        <f>E155+F155+G155+H155+I155+J155+K155+L155</f>
        <v>12460534</v>
      </c>
      <c r="E155" s="321">
        <v>12460534</v>
      </c>
      <c r="F155" s="63"/>
      <c r="G155" s="63"/>
      <c r="H155" s="63"/>
      <c r="I155" s="63"/>
      <c r="J155" s="63"/>
      <c r="K155" s="63"/>
      <c r="L155" s="63"/>
      <c r="M155" s="3202"/>
      <c r="N155" s="3160"/>
    </row>
    <row r="156" spans="1:15" ht="27" hidden="1" customHeight="1">
      <c r="A156" s="3133"/>
      <c r="B156" s="82"/>
      <c r="C156" s="64"/>
      <c r="D156" s="1252"/>
      <c r="E156" s="107"/>
      <c r="F156" s="107"/>
      <c r="G156" s="107"/>
      <c r="H156" s="107"/>
      <c r="I156" s="107"/>
      <c r="J156" s="107"/>
      <c r="K156" s="107"/>
      <c r="L156" s="107"/>
      <c r="M156" s="46"/>
      <c r="N156" s="100"/>
      <c r="O156" s="563"/>
    </row>
    <row r="157" spans="1:15" ht="13.5" hidden="1" customHeight="1">
      <c r="A157" s="3134"/>
      <c r="B157" s="86" t="s">
        <v>10</v>
      </c>
      <c r="C157" s="22"/>
      <c r="D157" s="69"/>
      <c r="E157" s="69"/>
      <c r="F157" s="69"/>
      <c r="G157" s="69"/>
      <c r="H157" s="69"/>
      <c r="I157" s="69"/>
      <c r="J157" s="69"/>
      <c r="K157" s="69"/>
      <c r="L157" s="69"/>
      <c r="M157" s="71">
        <f>+M158+M160</f>
        <v>0</v>
      </c>
      <c r="N157" s="3153" t="s">
        <v>87</v>
      </c>
      <c r="O157" s="563"/>
    </row>
    <row r="158" spans="1:15" ht="13.5" hidden="1" customHeight="1">
      <c r="A158" s="3134"/>
      <c r="B158" s="1235" t="s">
        <v>24</v>
      </c>
      <c r="C158" s="3091" t="s">
        <v>84</v>
      </c>
      <c r="D158" s="72"/>
      <c r="E158" s="72"/>
      <c r="F158" s="72"/>
      <c r="G158" s="72"/>
      <c r="H158" s="72"/>
      <c r="I158" s="72"/>
      <c r="J158" s="72"/>
      <c r="K158" s="72"/>
      <c r="L158" s="72"/>
      <c r="M158" s="73">
        <f>+M159</f>
        <v>0</v>
      </c>
      <c r="N158" s="3153"/>
    </row>
    <row r="159" spans="1:15" ht="12.75" hidden="1" customHeight="1">
      <c r="A159" s="3134"/>
      <c r="B159" s="1125" t="s">
        <v>12</v>
      </c>
      <c r="C159" s="3147"/>
      <c r="D159" s="280"/>
      <c r="E159" s="321"/>
      <c r="F159" s="52"/>
      <c r="G159" s="52"/>
      <c r="H159" s="52"/>
      <c r="I159" s="52"/>
      <c r="J159" s="52"/>
      <c r="K159" s="52"/>
      <c r="L159" s="52"/>
      <c r="M159" s="37">
        <f>SUM(F159:L159)</f>
        <v>0</v>
      </c>
      <c r="N159" s="3153"/>
    </row>
    <row r="160" spans="1:15" ht="12.75" hidden="1" customHeight="1">
      <c r="A160" s="3134"/>
      <c r="B160" s="1239" t="s">
        <v>18</v>
      </c>
      <c r="C160" s="3147"/>
      <c r="D160" s="53"/>
      <c r="E160" s="53"/>
      <c r="F160" s="53"/>
      <c r="G160" s="53"/>
      <c r="H160" s="53"/>
      <c r="I160" s="53"/>
      <c r="J160" s="53"/>
      <c r="K160" s="53"/>
      <c r="L160" s="53"/>
      <c r="M160" s="73">
        <f>+M161</f>
        <v>0</v>
      </c>
      <c r="N160" s="3153"/>
    </row>
    <row r="161" spans="1:18" ht="12" hidden="1" customHeight="1">
      <c r="A161" s="3134"/>
      <c r="B161" s="534" t="s">
        <v>21</v>
      </c>
      <c r="C161" s="3148"/>
      <c r="D161" s="280"/>
      <c r="E161" s="321"/>
      <c r="F161" s="52"/>
      <c r="G161" s="52"/>
      <c r="H161" s="52"/>
      <c r="I161" s="52"/>
      <c r="J161" s="52"/>
      <c r="K161" s="52"/>
      <c r="L161" s="52"/>
      <c r="M161" s="37">
        <f>SUM(F161:L161)</f>
        <v>0</v>
      </c>
      <c r="N161" s="3154"/>
    </row>
    <row r="162" spans="1:18" ht="12.75" hidden="1" customHeight="1">
      <c r="A162" s="3135"/>
      <c r="B162" s="89" t="s">
        <v>22</v>
      </c>
      <c r="C162" s="22"/>
      <c r="D162" s="224"/>
      <c r="E162" s="224"/>
      <c r="F162" s="224"/>
      <c r="G162" s="224"/>
      <c r="H162" s="224"/>
      <c r="I162" s="224"/>
      <c r="J162" s="224"/>
      <c r="K162" s="224"/>
      <c r="L162" s="224"/>
      <c r="M162" s="3203" t="s">
        <v>23</v>
      </c>
      <c r="N162" s="3213" t="s">
        <v>104</v>
      </c>
      <c r="O162" s="563"/>
    </row>
    <row r="163" spans="1:18" ht="13.5" hidden="1" customHeight="1">
      <c r="A163" s="3135"/>
      <c r="B163" s="1235" t="s">
        <v>24</v>
      </c>
      <c r="C163" s="3242" t="s">
        <v>84</v>
      </c>
      <c r="D163" s="57"/>
      <c r="E163" s="57"/>
      <c r="F163" s="57"/>
      <c r="G163" s="57"/>
      <c r="H163" s="57"/>
      <c r="I163" s="57"/>
      <c r="J163" s="57"/>
      <c r="K163" s="57"/>
      <c r="L163" s="57"/>
      <c r="M163" s="3201"/>
      <c r="N163" s="3159"/>
    </row>
    <row r="164" spans="1:18" ht="13.5" hidden="1" customHeight="1">
      <c r="A164" s="3135"/>
      <c r="B164" s="103" t="s">
        <v>26</v>
      </c>
      <c r="C164" s="3243"/>
      <c r="D164" s="280"/>
      <c r="E164" s="321"/>
      <c r="F164" s="59"/>
      <c r="G164" s="59"/>
      <c r="H164" s="59"/>
      <c r="I164" s="59"/>
      <c r="J164" s="59"/>
      <c r="K164" s="59"/>
      <c r="L164" s="59"/>
      <c r="M164" s="3201"/>
      <c r="N164" s="3159"/>
    </row>
    <row r="165" spans="1:18" s="298" customFormat="1" ht="12.75" hidden="1" customHeight="1">
      <c r="A165" s="3135"/>
      <c r="B165" s="1239" t="s">
        <v>18</v>
      </c>
      <c r="C165" s="3091" t="s">
        <v>85</v>
      </c>
      <c r="D165" s="1123"/>
      <c r="E165" s="1123"/>
      <c r="F165" s="1123"/>
      <c r="G165" s="1123"/>
      <c r="H165" s="1123"/>
      <c r="I165" s="1123"/>
      <c r="J165" s="1123"/>
      <c r="K165" s="1123"/>
      <c r="L165" s="1123"/>
      <c r="M165" s="3201"/>
      <c r="N165" s="3159"/>
    </row>
    <row r="166" spans="1:18" ht="12.75" hidden="1" customHeight="1" thickBot="1">
      <c r="A166" s="3136"/>
      <c r="B166" s="84" t="s">
        <v>21</v>
      </c>
      <c r="C166" s="3120"/>
      <c r="D166" s="280"/>
      <c r="E166" s="321"/>
      <c r="F166" s="63"/>
      <c r="G166" s="63"/>
      <c r="H166" s="63"/>
      <c r="I166" s="63"/>
      <c r="J166" s="63"/>
      <c r="K166" s="63"/>
      <c r="L166" s="63"/>
      <c r="M166" s="3202"/>
      <c r="N166" s="3160"/>
    </row>
    <row r="167" spans="1:18" ht="25.5" hidden="1" customHeight="1">
      <c r="A167" s="3133" t="s">
        <v>66</v>
      </c>
      <c r="B167" s="506"/>
      <c r="C167" s="64" t="s">
        <v>81</v>
      </c>
      <c r="D167" s="65"/>
      <c r="E167" s="45"/>
      <c r="F167" s="45"/>
      <c r="G167" s="45"/>
      <c r="H167" s="45"/>
      <c r="I167" s="45"/>
      <c r="J167" s="45"/>
      <c r="K167" s="45"/>
      <c r="L167" s="45"/>
      <c r="M167" s="46"/>
      <c r="N167" s="100"/>
      <c r="R167" s="1242"/>
    </row>
    <row r="168" spans="1:18" ht="11.25" hidden="1" customHeight="1">
      <c r="A168" s="3134"/>
      <c r="B168" s="830" t="s">
        <v>10</v>
      </c>
      <c r="C168" s="1105"/>
      <c r="D168" s="1379">
        <f>+D169+D171</f>
        <v>0</v>
      </c>
      <c r="E168" s="1379">
        <f>+E169+E171</f>
        <v>0</v>
      </c>
      <c r="F168" s="1379">
        <f>+F169+F171</f>
        <v>0</v>
      </c>
      <c r="G168" s="1379"/>
      <c r="H168" s="1379"/>
      <c r="I168" s="1379"/>
      <c r="J168" s="1379"/>
      <c r="K168" s="1379"/>
      <c r="L168" s="1379"/>
      <c r="M168" s="1358">
        <f>+M169+M171</f>
        <v>0</v>
      </c>
      <c r="N168" s="3153" t="s">
        <v>87</v>
      </c>
      <c r="O168" s="563"/>
      <c r="P168" s="563"/>
      <c r="Q168" s="563"/>
      <c r="R168" s="563"/>
    </row>
    <row r="169" spans="1:18" ht="13.5" hidden="1" customHeight="1">
      <c r="A169" s="3134"/>
      <c r="B169" s="2217" t="s">
        <v>24</v>
      </c>
      <c r="C169" s="3106" t="s">
        <v>84</v>
      </c>
      <c r="D169" s="1042">
        <f>+D170</f>
        <v>0</v>
      </c>
      <c r="E169" s="1042">
        <f t="shared" ref="E169:F169" si="109">+E170</f>
        <v>0</v>
      </c>
      <c r="F169" s="1042">
        <f t="shared" si="109"/>
        <v>0</v>
      </c>
      <c r="G169" s="1042"/>
      <c r="H169" s="1042"/>
      <c r="I169" s="1042"/>
      <c r="J169" s="1042"/>
      <c r="K169" s="1042"/>
      <c r="L169" s="1042"/>
      <c r="M169" s="804">
        <f>+M170</f>
        <v>0</v>
      </c>
      <c r="N169" s="3153"/>
      <c r="O169" s="563"/>
    </row>
    <row r="170" spans="1:18" ht="12" hidden="1" customHeight="1">
      <c r="A170" s="3134"/>
      <c r="B170" s="1380" t="s">
        <v>12</v>
      </c>
      <c r="C170" s="3149"/>
      <c r="D170" s="280">
        <f>E170+F170+G170+H170+I170+J170+K170+L170</f>
        <v>0</v>
      </c>
      <c r="E170" s="321"/>
      <c r="F170" s="807">
        <f>17005-17005</f>
        <v>0</v>
      </c>
      <c r="G170" s="998"/>
      <c r="H170" s="998"/>
      <c r="I170" s="998"/>
      <c r="J170" s="998"/>
      <c r="K170" s="998"/>
      <c r="L170" s="998"/>
      <c r="M170" s="1381">
        <f>SUM(F170:L170)</f>
        <v>0</v>
      </c>
      <c r="N170" s="3153"/>
      <c r="O170" s="563"/>
    </row>
    <row r="171" spans="1:18" ht="12.75" hidden="1" customHeight="1">
      <c r="A171" s="3134"/>
      <c r="B171" s="843" t="s">
        <v>18</v>
      </c>
      <c r="C171" s="3149"/>
      <c r="D171" s="808">
        <f>+D172</f>
        <v>0</v>
      </c>
      <c r="E171" s="808">
        <f t="shared" ref="E171" si="110">+E172</f>
        <v>0</v>
      </c>
      <c r="F171" s="808"/>
      <c r="G171" s="808"/>
      <c r="H171" s="808"/>
      <c r="I171" s="808"/>
      <c r="J171" s="808"/>
      <c r="K171" s="808"/>
      <c r="L171" s="808"/>
      <c r="M171" s="804">
        <f>+M172</f>
        <v>0</v>
      </c>
      <c r="N171" s="3153"/>
    </row>
    <row r="172" spans="1:18" ht="12" hidden="1" customHeight="1">
      <c r="A172" s="3134"/>
      <c r="B172" s="1032" t="s">
        <v>21</v>
      </c>
      <c r="C172" s="3124"/>
      <c r="D172" s="280">
        <f>E172+F172+G172+H172+I172+J172+K172+L172</f>
        <v>0</v>
      </c>
      <c r="E172" s="321"/>
      <c r="F172" s="998"/>
      <c r="G172" s="998"/>
      <c r="H172" s="998"/>
      <c r="I172" s="998"/>
      <c r="J172" s="998"/>
      <c r="K172" s="998"/>
      <c r="L172" s="998"/>
      <c r="M172" s="1381">
        <f>SUM(F172:L172)</f>
        <v>0</v>
      </c>
      <c r="N172" s="3154"/>
    </row>
    <row r="173" spans="1:18" ht="12.75" hidden="1" customHeight="1">
      <c r="A173" s="3134"/>
      <c r="B173" s="626" t="s">
        <v>22</v>
      </c>
      <c r="C173" s="1105"/>
      <c r="D173" s="982">
        <f>+D174</f>
        <v>0</v>
      </c>
      <c r="E173" s="982">
        <f t="shared" ref="E173:E174" si="111">+E174</f>
        <v>0</v>
      </c>
      <c r="F173" s="982"/>
      <c r="G173" s="982"/>
      <c r="H173" s="982"/>
      <c r="I173" s="982"/>
      <c r="J173" s="982"/>
      <c r="K173" s="982"/>
      <c r="L173" s="982"/>
      <c r="M173" s="3204" t="s">
        <v>23</v>
      </c>
      <c r="N173" s="3206" t="s">
        <v>104</v>
      </c>
      <c r="O173" s="563"/>
    </row>
    <row r="174" spans="1:18" s="298" customFormat="1" ht="12.75" hidden="1" customHeight="1">
      <c r="A174" s="3134"/>
      <c r="B174" s="837" t="s">
        <v>18</v>
      </c>
      <c r="C174" s="3106" t="s">
        <v>85</v>
      </c>
      <c r="D174" s="1281">
        <f>+D175</f>
        <v>0</v>
      </c>
      <c r="E174" s="1382">
        <f t="shared" si="111"/>
        <v>0</v>
      </c>
      <c r="F174" s="1281"/>
      <c r="G174" s="1281"/>
      <c r="H174" s="1281"/>
      <c r="I174" s="1281"/>
      <c r="J174" s="1281"/>
      <c r="K174" s="1281"/>
      <c r="L174" s="1281"/>
      <c r="M174" s="3201"/>
      <c r="N174" s="3153"/>
    </row>
    <row r="175" spans="1:18" ht="12.75" hidden="1" customHeight="1" thickBot="1">
      <c r="A175" s="3171"/>
      <c r="B175" s="84" t="s">
        <v>21</v>
      </c>
      <c r="C175" s="3120"/>
      <c r="D175" s="280">
        <f>E175+F175+G175+H175+I175+J175+K175+L175</f>
        <v>0</v>
      </c>
      <c r="E175" s="321"/>
      <c r="F175" s="63"/>
      <c r="G175" s="63"/>
      <c r="H175" s="63"/>
      <c r="I175" s="63"/>
      <c r="J175" s="63"/>
      <c r="K175" s="63"/>
      <c r="L175" s="63"/>
      <c r="M175" s="3202"/>
      <c r="N175" s="3207"/>
    </row>
    <row r="176" spans="1:18" ht="27.75" customHeight="1">
      <c r="A176" s="3133" t="s">
        <v>66</v>
      </c>
      <c r="B176" s="506" t="s">
        <v>532</v>
      </c>
      <c r="C176" s="64" t="s">
        <v>81</v>
      </c>
      <c r="D176" s="1252"/>
      <c r="E176" s="106"/>
      <c r="F176" s="107"/>
      <c r="G176" s="107"/>
      <c r="H176" s="107"/>
      <c r="I176" s="107"/>
      <c r="J176" s="107"/>
      <c r="K176" s="107"/>
      <c r="L176" s="107"/>
      <c r="M176" s="46"/>
      <c r="N176" s="100"/>
      <c r="O176" s="563"/>
    </row>
    <row r="177" spans="1:15" ht="12" customHeight="1">
      <c r="A177" s="3134"/>
      <c r="B177" s="626" t="s">
        <v>10</v>
      </c>
      <c r="C177" s="2933"/>
      <c r="D177" s="2964">
        <f>+D178+D181</f>
        <v>28857498</v>
      </c>
      <c r="E177" s="2964">
        <f>+E178+E181</f>
        <v>28834958</v>
      </c>
      <c r="F177" s="2964">
        <f>+F178+F181</f>
        <v>22540</v>
      </c>
      <c r="G177" s="2964"/>
      <c r="H177" s="2964"/>
      <c r="I177" s="2964"/>
      <c r="J177" s="2964"/>
      <c r="K177" s="2964"/>
      <c r="L177" s="2964"/>
      <c r="M177" s="2935">
        <f>+M178+M181</f>
        <v>22540</v>
      </c>
      <c r="N177" s="3153" t="s">
        <v>87</v>
      </c>
    </row>
    <row r="178" spans="1:15" ht="13.5" customHeight="1">
      <c r="A178" s="3134"/>
      <c r="B178" s="832" t="s">
        <v>24</v>
      </c>
      <c r="C178" s="3146" t="s">
        <v>84</v>
      </c>
      <c r="D178" s="2965">
        <f>+D179+D180</f>
        <v>4763194</v>
      </c>
      <c r="E178" s="2965">
        <f>+E179+E180</f>
        <v>4740654</v>
      </c>
      <c r="F178" s="2965">
        <f>+F179+F180</f>
        <v>22540</v>
      </c>
      <c r="G178" s="2965"/>
      <c r="H178" s="2965"/>
      <c r="I178" s="2965"/>
      <c r="J178" s="2965"/>
      <c r="K178" s="2965"/>
      <c r="L178" s="2965"/>
      <c r="M178" s="2938">
        <f>+M179+M180</f>
        <v>22540</v>
      </c>
      <c r="N178" s="3153"/>
      <c r="O178" s="563"/>
    </row>
    <row r="179" spans="1:15" ht="11.25" customHeight="1">
      <c r="A179" s="3134"/>
      <c r="B179" s="1032" t="s">
        <v>12</v>
      </c>
      <c r="C179" s="3147"/>
      <c r="D179" s="2819">
        <f>E179+F179+G179+H179+I179+J179+K179+L179</f>
        <v>3763194</v>
      </c>
      <c r="E179" s="2903">
        <v>3740654</v>
      </c>
      <c r="F179" s="2966">
        <f>44217+706-22383</f>
        <v>22540</v>
      </c>
      <c r="G179" s="2967"/>
      <c r="H179" s="2967"/>
      <c r="I179" s="2967"/>
      <c r="J179" s="2967"/>
      <c r="K179" s="2967"/>
      <c r="L179" s="2967"/>
      <c r="M179" s="2968">
        <f>SUM(F179:L179)</f>
        <v>22540</v>
      </c>
      <c r="N179" s="3153"/>
      <c r="O179" s="563"/>
    </row>
    <row r="180" spans="1:15" ht="11.25" customHeight="1">
      <c r="A180" s="3134"/>
      <c r="B180" s="1032" t="s">
        <v>15</v>
      </c>
      <c r="C180" s="3147"/>
      <c r="D180" s="2819">
        <f>E180+F180+G180+H180+I180+J180+K180+L180</f>
        <v>1000000</v>
      </c>
      <c r="E180" s="2903">
        <v>1000000</v>
      </c>
      <c r="F180" s="2967"/>
      <c r="G180" s="2967"/>
      <c r="H180" s="2967"/>
      <c r="I180" s="2967"/>
      <c r="J180" s="2967"/>
      <c r="K180" s="2967"/>
      <c r="L180" s="2967"/>
      <c r="M180" s="2968">
        <f>SUM(F180:L180)</f>
        <v>0</v>
      </c>
      <c r="N180" s="3153"/>
      <c r="O180" s="563"/>
    </row>
    <row r="181" spans="1:15" ht="11.25" customHeight="1">
      <c r="A181" s="3134"/>
      <c r="B181" s="837" t="s">
        <v>18</v>
      </c>
      <c r="C181" s="3147"/>
      <c r="D181" s="2937">
        <f>+D182</f>
        <v>24094304</v>
      </c>
      <c r="E181" s="2937">
        <f t="shared" ref="E181" si="112">+E182</f>
        <v>24094304</v>
      </c>
      <c r="F181" s="2937"/>
      <c r="G181" s="2937"/>
      <c r="H181" s="2937"/>
      <c r="I181" s="2937"/>
      <c r="J181" s="2937"/>
      <c r="K181" s="2937"/>
      <c r="L181" s="2937"/>
      <c r="M181" s="2938">
        <f>+M182</f>
        <v>0</v>
      </c>
      <c r="N181" s="3153"/>
    </row>
    <row r="182" spans="1:15" ht="11.25" customHeight="1">
      <c r="A182" s="3134"/>
      <c r="B182" s="2969" t="s">
        <v>21</v>
      </c>
      <c r="C182" s="3148"/>
      <c r="D182" s="2819">
        <f>E182+F182+G182+H182+I182+J182+K182+L182</f>
        <v>24094304</v>
      </c>
      <c r="E182" s="2903">
        <v>24094304</v>
      </c>
      <c r="F182" s="2940"/>
      <c r="G182" s="2940"/>
      <c r="H182" s="2940"/>
      <c r="I182" s="2940"/>
      <c r="J182" s="2940"/>
      <c r="K182" s="2940"/>
      <c r="L182" s="2940"/>
      <c r="M182" s="2968">
        <f>SUM(F182:L182)</f>
        <v>0</v>
      </c>
      <c r="N182" s="3154"/>
    </row>
    <row r="183" spans="1:15" ht="11.25" customHeight="1">
      <c r="A183" s="3135"/>
      <c r="B183" s="626" t="s">
        <v>22</v>
      </c>
      <c r="C183" s="2933"/>
      <c r="D183" s="2934">
        <f>+D186+D184</f>
        <v>25094304</v>
      </c>
      <c r="E183" s="2934">
        <f>+E186+E184</f>
        <v>25094304</v>
      </c>
      <c r="F183" s="2934"/>
      <c r="G183" s="2934"/>
      <c r="H183" s="2934"/>
      <c r="I183" s="2934"/>
      <c r="J183" s="2934"/>
      <c r="K183" s="2934"/>
      <c r="L183" s="2934"/>
      <c r="M183" s="3208" t="s">
        <v>23</v>
      </c>
      <c r="N183" s="3191" t="s">
        <v>104</v>
      </c>
    </row>
    <row r="184" spans="1:15" ht="13.5" customHeight="1">
      <c r="A184" s="3135"/>
      <c r="B184" s="2970" t="s">
        <v>24</v>
      </c>
      <c r="C184" s="3146" t="s">
        <v>85</v>
      </c>
      <c r="D184" s="57">
        <f>+D185</f>
        <v>1000000</v>
      </c>
      <c r="E184" s="57">
        <f t="shared" ref="E184" si="113">+E185</f>
        <v>1000000</v>
      </c>
      <c r="F184" s="57"/>
      <c r="G184" s="57"/>
      <c r="H184" s="57"/>
      <c r="I184" s="57"/>
      <c r="J184" s="57"/>
      <c r="K184" s="57"/>
      <c r="L184" s="57"/>
      <c r="M184" s="3209"/>
      <c r="N184" s="3159"/>
    </row>
    <row r="185" spans="1:15" ht="11.25" customHeight="1">
      <c r="A185" s="3135"/>
      <c r="B185" s="103" t="s">
        <v>15</v>
      </c>
      <c r="C185" s="3149"/>
      <c r="D185" s="2819">
        <f>E185+F185+G185+H185+I185+J185+K185+L185</f>
        <v>1000000</v>
      </c>
      <c r="E185" s="2903">
        <v>1000000</v>
      </c>
      <c r="F185" s="2971"/>
      <c r="G185" s="2971"/>
      <c r="H185" s="2971"/>
      <c r="I185" s="2971"/>
      <c r="J185" s="2971"/>
      <c r="K185" s="2971"/>
      <c r="L185" s="2971"/>
      <c r="M185" s="3209"/>
      <c r="N185" s="3159"/>
    </row>
    <row r="186" spans="1:15" s="298" customFormat="1">
      <c r="A186" s="3135"/>
      <c r="B186" s="837" t="s">
        <v>18</v>
      </c>
      <c r="C186" s="3149"/>
      <c r="D186" s="2972">
        <f>+D187</f>
        <v>24094304</v>
      </c>
      <c r="E186" s="2972">
        <f t="shared" ref="E186" si="114">+E187</f>
        <v>24094304</v>
      </c>
      <c r="F186" s="2972"/>
      <c r="G186" s="2972"/>
      <c r="H186" s="2972"/>
      <c r="I186" s="2972"/>
      <c r="J186" s="2972"/>
      <c r="K186" s="2972"/>
      <c r="L186" s="2972"/>
      <c r="M186" s="3209"/>
      <c r="N186" s="3159"/>
    </row>
    <row r="187" spans="1:15" ht="13.5" thickBot="1">
      <c r="A187" s="3136"/>
      <c r="B187" s="84" t="s">
        <v>21</v>
      </c>
      <c r="C187" s="3137"/>
      <c r="D187" s="1337">
        <f>E187+F187+G187+H187+I187+J187+K187+L187</f>
        <v>24094304</v>
      </c>
      <c r="E187" s="1337">
        <v>24094304</v>
      </c>
      <c r="F187" s="2219"/>
      <c r="G187" s="2219"/>
      <c r="H187" s="2219"/>
      <c r="I187" s="2219"/>
      <c r="J187" s="2219"/>
      <c r="K187" s="2219"/>
      <c r="L187" s="2219"/>
      <c r="M187" s="3210"/>
      <c r="N187" s="3160"/>
    </row>
    <row r="188" spans="1:15" ht="26.25" customHeight="1">
      <c r="A188" s="3133" t="s">
        <v>67</v>
      </c>
      <c r="B188" s="506" t="s">
        <v>533</v>
      </c>
      <c r="C188" s="64" t="s">
        <v>81</v>
      </c>
      <c r="D188" s="1252"/>
      <c r="E188" s="107"/>
      <c r="F188" s="107"/>
      <c r="G188" s="107"/>
      <c r="H188" s="107"/>
      <c r="I188" s="107"/>
      <c r="J188" s="107"/>
      <c r="K188" s="107"/>
      <c r="L188" s="107"/>
      <c r="M188" s="2220"/>
      <c r="N188" s="100"/>
    </row>
    <row r="189" spans="1:15" ht="13.5" customHeight="1">
      <c r="A189" s="3134"/>
      <c r="B189" s="89" t="s">
        <v>10</v>
      </c>
      <c r="C189" s="22"/>
      <c r="D189" s="2221">
        <f>+D190+D192</f>
        <v>44189424</v>
      </c>
      <c r="E189" s="2221">
        <f t="shared" ref="E189" si="115">+E190+E192</f>
        <v>44187304</v>
      </c>
      <c r="F189" s="2221">
        <f>+F190+F192</f>
        <v>2120</v>
      </c>
      <c r="G189" s="2221"/>
      <c r="H189" s="2221"/>
      <c r="I189" s="2221"/>
      <c r="J189" s="2221"/>
      <c r="K189" s="2221"/>
      <c r="L189" s="2221"/>
      <c r="M189" s="2222">
        <f>+M190+M192</f>
        <v>2120</v>
      </c>
      <c r="N189" s="3153" t="s">
        <v>87</v>
      </c>
      <c r="O189" s="563"/>
    </row>
    <row r="190" spans="1:15" ht="13.5" customHeight="1">
      <c r="A190" s="3134"/>
      <c r="B190" s="256" t="s">
        <v>24</v>
      </c>
      <c r="C190" s="3193" t="s">
        <v>84</v>
      </c>
      <c r="D190" s="2223">
        <f>+D191</f>
        <v>2475066</v>
      </c>
      <c r="E190" s="2223">
        <f t="shared" ref="E190:F190" si="116">+E191</f>
        <v>2472946</v>
      </c>
      <c r="F190" s="2223">
        <f t="shared" si="116"/>
        <v>2120</v>
      </c>
      <c r="G190" s="2223"/>
      <c r="H190" s="2223"/>
      <c r="I190" s="2223"/>
      <c r="J190" s="2223"/>
      <c r="K190" s="2223"/>
      <c r="L190" s="2223"/>
      <c r="M190" s="2224">
        <f>+M191</f>
        <v>2120</v>
      </c>
      <c r="N190" s="3153"/>
      <c r="O190" s="563"/>
    </row>
    <row r="191" spans="1:15" ht="13.5" customHeight="1">
      <c r="A191" s="3134"/>
      <c r="B191" s="534" t="s">
        <v>12</v>
      </c>
      <c r="C191" s="3147"/>
      <c r="D191" s="280">
        <f>E191+F191+G191+H191+I191+J191+K191+L191</f>
        <v>2475066</v>
      </c>
      <c r="E191" s="321">
        <v>2472946</v>
      </c>
      <c r="F191" s="2225">
        <f>17423-15303</f>
        <v>2120</v>
      </c>
      <c r="G191" s="2225"/>
      <c r="H191" s="2226"/>
      <c r="I191" s="2226"/>
      <c r="J191" s="2226"/>
      <c r="K191" s="2226"/>
      <c r="L191" s="2226"/>
      <c r="M191" s="37">
        <f>SUM(F191:L191)</f>
        <v>2120</v>
      </c>
      <c r="N191" s="3153"/>
    </row>
    <row r="192" spans="1:15" ht="13.5" customHeight="1">
      <c r="A192" s="3134"/>
      <c r="B192" s="1239" t="s">
        <v>18</v>
      </c>
      <c r="C192" s="3147"/>
      <c r="D192" s="2227">
        <f>+D193</f>
        <v>41714358</v>
      </c>
      <c r="E192" s="2227">
        <f t="shared" ref="E192" si="117">+E193</f>
        <v>41714358</v>
      </c>
      <c r="F192" s="2227"/>
      <c r="G192" s="2227"/>
      <c r="H192" s="2227"/>
      <c r="I192" s="2227"/>
      <c r="J192" s="2227"/>
      <c r="K192" s="2227"/>
      <c r="L192" s="2227"/>
      <c r="M192" s="2224">
        <f>+M193</f>
        <v>0</v>
      </c>
      <c r="N192" s="3153"/>
    </row>
    <row r="193" spans="1:15" ht="13.5" customHeight="1">
      <c r="A193" s="3134"/>
      <c r="B193" s="2228" t="s">
        <v>21</v>
      </c>
      <c r="C193" s="3147"/>
      <c r="D193" s="280">
        <f>E193+F193+G193+H193+I193+J193+K193+L193</f>
        <v>41714358</v>
      </c>
      <c r="E193" s="321">
        <v>41714358</v>
      </c>
      <c r="F193" s="2225"/>
      <c r="G193" s="2225"/>
      <c r="H193" s="2226"/>
      <c r="I193" s="2226"/>
      <c r="J193" s="2226"/>
      <c r="K193" s="2226"/>
      <c r="L193" s="2226"/>
      <c r="M193" s="37">
        <f>SUM(F193:L193)</f>
        <v>0</v>
      </c>
      <c r="N193" s="3154"/>
    </row>
    <row r="194" spans="1:15" ht="12.75" customHeight="1">
      <c r="A194" s="3135"/>
      <c r="B194" s="21" t="s">
        <v>22</v>
      </c>
      <c r="C194" s="22"/>
      <c r="D194" s="2229">
        <f>+D195</f>
        <v>41714358</v>
      </c>
      <c r="E194" s="2229">
        <f t="shared" ref="E194:E195" si="118">+E195</f>
        <v>41714358</v>
      </c>
      <c r="F194" s="2229"/>
      <c r="G194" s="2229"/>
      <c r="H194" s="2229"/>
      <c r="I194" s="2229"/>
      <c r="J194" s="2229"/>
      <c r="K194" s="2229"/>
      <c r="L194" s="2229"/>
      <c r="M194" s="3205" t="s">
        <v>23</v>
      </c>
      <c r="N194" s="3194" t="s">
        <v>104</v>
      </c>
      <c r="O194" s="563"/>
    </row>
    <row r="195" spans="1:15" s="298" customFormat="1" ht="12.75" customHeight="1">
      <c r="A195" s="3135"/>
      <c r="B195" s="577" t="s">
        <v>18</v>
      </c>
      <c r="C195" s="3193" t="s">
        <v>85</v>
      </c>
      <c r="D195" s="2230">
        <f>+D196</f>
        <v>41714358</v>
      </c>
      <c r="E195" s="2231">
        <f t="shared" si="118"/>
        <v>41714358</v>
      </c>
      <c r="F195" s="2230"/>
      <c r="G195" s="2231"/>
      <c r="H195" s="2231"/>
      <c r="I195" s="2231"/>
      <c r="J195" s="2231"/>
      <c r="K195" s="2231"/>
      <c r="L195" s="2231"/>
      <c r="M195" s="3162"/>
      <c r="N195" s="3159"/>
    </row>
    <row r="196" spans="1:15" s="298" customFormat="1" ht="12.75" customHeight="1" thickBot="1">
      <c r="A196" s="3136"/>
      <c r="B196" s="60" t="s">
        <v>21</v>
      </c>
      <c r="C196" s="3120"/>
      <c r="D196" s="280">
        <f>E196+F196+G196+H196+I196+J196+K196+L196</f>
        <v>41714358</v>
      </c>
      <c r="E196" s="321">
        <v>41714358</v>
      </c>
      <c r="F196" s="2232"/>
      <c r="G196" s="607"/>
      <c r="H196" s="607"/>
      <c r="I196" s="607"/>
      <c r="J196" s="607"/>
      <c r="K196" s="607"/>
      <c r="L196" s="607"/>
      <c r="M196" s="3163"/>
      <c r="N196" s="3160"/>
    </row>
    <row r="197" spans="1:15" ht="26.25" hidden="1" customHeight="1">
      <c r="A197" s="3133" t="s">
        <v>90</v>
      </c>
      <c r="B197" s="316">
        <v>0</v>
      </c>
      <c r="C197" s="64" t="s">
        <v>81</v>
      </c>
      <c r="D197" s="1252"/>
      <c r="E197" s="107"/>
      <c r="F197" s="107"/>
      <c r="G197" s="107"/>
      <c r="H197" s="107"/>
      <c r="I197" s="107"/>
      <c r="J197" s="107"/>
      <c r="K197" s="107"/>
      <c r="L197" s="107"/>
      <c r="M197" s="46"/>
      <c r="N197" s="100"/>
    </row>
    <row r="198" spans="1:15" ht="13.5" hidden="1" customHeight="1">
      <c r="A198" s="3134"/>
      <c r="B198" s="21" t="s">
        <v>10</v>
      </c>
      <c r="C198" s="22"/>
      <c r="D198" s="552">
        <f>+D199+D201</f>
        <v>0</v>
      </c>
      <c r="E198" s="552">
        <v>0</v>
      </c>
      <c r="F198" s="552"/>
      <c r="G198" s="552"/>
      <c r="H198" s="552"/>
      <c r="I198" s="552"/>
      <c r="J198" s="552"/>
      <c r="K198" s="552"/>
      <c r="L198" s="552"/>
      <c r="M198" s="553">
        <f>+M199+M201</f>
        <v>0</v>
      </c>
      <c r="N198" s="3153" t="s">
        <v>87</v>
      </c>
      <c r="O198" s="563"/>
    </row>
    <row r="199" spans="1:15" ht="13.5" hidden="1" customHeight="1">
      <c r="A199" s="3134"/>
      <c r="B199" s="189" t="s">
        <v>24</v>
      </c>
      <c r="C199" s="3178" t="s">
        <v>84</v>
      </c>
      <c r="D199" s="555">
        <f>+D200</f>
        <v>0</v>
      </c>
      <c r="E199" s="555">
        <v>0</v>
      </c>
      <c r="F199" s="555"/>
      <c r="G199" s="555"/>
      <c r="H199" s="555"/>
      <c r="I199" s="555"/>
      <c r="J199" s="555"/>
      <c r="K199" s="555"/>
      <c r="L199" s="555"/>
      <c r="M199" s="554">
        <f>+M200</f>
        <v>0</v>
      </c>
      <c r="N199" s="3153"/>
      <c r="O199" s="563"/>
    </row>
    <row r="200" spans="1:15" ht="13.5" hidden="1" customHeight="1" thickBot="1">
      <c r="A200" s="3171"/>
      <c r="B200" s="411" t="s">
        <v>12</v>
      </c>
      <c r="C200" s="3137"/>
      <c r="D200" s="2205">
        <f>E200+F200+G200+H200+I200+J200+K200+L200</f>
        <v>0</v>
      </c>
      <c r="E200" s="1254">
        <v>0</v>
      </c>
      <c r="F200" s="81"/>
      <c r="G200" s="81"/>
      <c r="H200" s="81"/>
      <c r="I200" s="81"/>
      <c r="J200" s="81"/>
      <c r="K200" s="81"/>
      <c r="L200" s="81"/>
      <c r="M200" s="229">
        <f>SUM(F200:I200)</f>
        <v>0</v>
      </c>
      <c r="N200" s="3207"/>
    </row>
    <row r="201" spans="1:15" ht="13.5" hidden="1" customHeight="1" thickBot="1">
      <c r="A201" s="562"/>
      <c r="B201" s="1255" t="s">
        <v>18</v>
      </c>
      <c r="C201" s="2994"/>
      <c r="D201" s="574">
        <f>+D202</f>
        <v>0</v>
      </c>
      <c r="E201" s="574">
        <v>0</v>
      </c>
      <c r="F201" s="574"/>
      <c r="G201" s="574"/>
      <c r="H201" s="574"/>
      <c r="I201" s="574"/>
      <c r="J201" s="574"/>
      <c r="K201" s="574"/>
      <c r="L201" s="574"/>
      <c r="M201" s="575">
        <f>+M202</f>
        <v>0</v>
      </c>
      <c r="N201" s="573"/>
    </row>
    <row r="202" spans="1:15" ht="13.5" hidden="1" customHeight="1" thickBot="1">
      <c r="A202" s="562"/>
      <c r="B202" s="1256" t="s">
        <v>21</v>
      </c>
      <c r="C202" s="2994"/>
      <c r="D202" s="2205">
        <f>E202+F202+G202+H202+I202+J202+K202+L202</f>
        <v>0</v>
      </c>
      <c r="E202" s="1257">
        <v>0</v>
      </c>
      <c r="F202" s="62"/>
      <c r="G202" s="62"/>
      <c r="H202" s="62"/>
      <c r="I202" s="62"/>
      <c r="J202" s="62"/>
      <c r="K202" s="62"/>
      <c r="L202" s="62"/>
      <c r="M202" s="572">
        <f>SUM(F202:I202)</f>
        <v>0</v>
      </c>
      <c r="N202" s="571"/>
    </row>
    <row r="203" spans="1:15" ht="12.75" hidden="1" customHeight="1">
      <c r="A203" s="561"/>
      <c r="B203" s="91" t="s">
        <v>22</v>
      </c>
      <c r="C203" s="101"/>
      <c r="D203" s="116">
        <f>+D204</f>
        <v>0</v>
      </c>
      <c r="E203" s="116">
        <v>0</v>
      </c>
      <c r="F203" s="116"/>
      <c r="G203" s="116"/>
      <c r="H203" s="116"/>
      <c r="I203" s="116"/>
      <c r="J203" s="116"/>
      <c r="K203" s="116"/>
      <c r="L203" s="116"/>
      <c r="M203" s="3162" t="s">
        <v>23</v>
      </c>
      <c r="N203" s="3159" t="s">
        <v>104</v>
      </c>
    </row>
    <row r="204" spans="1:15" s="298" customFormat="1" ht="12.75" hidden="1" customHeight="1">
      <c r="A204" s="561"/>
      <c r="B204" s="577" t="s">
        <v>18</v>
      </c>
      <c r="C204" s="3178" t="s">
        <v>85</v>
      </c>
      <c r="D204" s="1251">
        <f>+D205</f>
        <v>0</v>
      </c>
      <c r="E204" s="1251">
        <v>0</v>
      </c>
      <c r="F204" s="1251"/>
      <c r="G204" s="1251"/>
      <c r="H204" s="1251"/>
      <c r="I204" s="1251"/>
      <c r="J204" s="1251"/>
      <c r="K204" s="1251"/>
      <c r="L204" s="1251"/>
      <c r="M204" s="3162"/>
      <c r="N204" s="3159"/>
    </row>
    <row r="205" spans="1:15" s="298" customFormat="1" ht="12.75" hidden="1" customHeight="1" thickBot="1">
      <c r="A205" s="2999"/>
      <c r="B205" s="60" t="s">
        <v>21</v>
      </c>
      <c r="C205" s="3120"/>
      <c r="D205" s="2205">
        <f>E205+F205+G205+H205+I205+J205+K205+L205</f>
        <v>0</v>
      </c>
      <c r="E205" s="1254">
        <v>0</v>
      </c>
      <c r="F205" s="607"/>
      <c r="G205" s="607"/>
      <c r="H205" s="607"/>
      <c r="I205" s="607"/>
      <c r="J205" s="607"/>
      <c r="K205" s="607"/>
      <c r="L205" s="607"/>
      <c r="M205" s="3163"/>
      <c r="N205" s="3160"/>
    </row>
    <row r="206" spans="1:15" hidden="1">
      <c r="A206" s="3133"/>
      <c r="B206" s="82"/>
      <c r="C206" s="64" t="s">
        <v>81</v>
      </c>
      <c r="D206" s="117"/>
      <c r="E206" s="119"/>
      <c r="F206" s="118"/>
      <c r="G206" s="118"/>
      <c r="H206" s="271"/>
      <c r="I206" s="271"/>
      <c r="J206" s="271"/>
      <c r="K206" s="271"/>
      <c r="L206" s="271"/>
      <c r="M206" s="46"/>
      <c r="N206" s="3094"/>
    </row>
    <row r="207" spans="1:15" ht="13.5" hidden="1" customHeight="1">
      <c r="A207" s="3134"/>
      <c r="B207" s="89" t="s">
        <v>10</v>
      </c>
      <c r="C207" s="22"/>
      <c r="D207" s="120">
        <f>+D208</f>
        <v>0</v>
      </c>
      <c r="E207" s="120">
        <v>0</v>
      </c>
      <c r="F207" s="120">
        <v>0</v>
      </c>
      <c r="G207" s="120"/>
      <c r="H207" s="120"/>
      <c r="I207" s="120"/>
      <c r="J207" s="120"/>
      <c r="K207" s="120"/>
      <c r="L207" s="120"/>
      <c r="M207" s="33">
        <f>+M208</f>
        <v>0</v>
      </c>
      <c r="N207" s="3095"/>
      <c r="O207" s="563" t="e">
        <f>+#REF!+#REF!</f>
        <v>#REF!</v>
      </c>
    </row>
    <row r="208" spans="1:15" ht="13.5" hidden="1" customHeight="1">
      <c r="A208" s="3134"/>
      <c r="B208" s="256" t="s">
        <v>99</v>
      </c>
      <c r="C208" s="3091"/>
      <c r="D208" s="122">
        <f>+D209</f>
        <v>0</v>
      </c>
      <c r="E208" s="122">
        <v>0</v>
      </c>
      <c r="F208" s="123">
        <v>0</v>
      </c>
      <c r="G208" s="123"/>
      <c r="H208" s="123"/>
      <c r="I208" s="123"/>
      <c r="J208" s="123"/>
      <c r="K208" s="123"/>
      <c r="L208" s="123"/>
      <c r="M208" s="124">
        <f>+M209</f>
        <v>0</v>
      </c>
      <c r="N208" s="3095"/>
    </row>
    <row r="209" spans="1:15" ht="13.5" hidden="1" customHeight="1">
      <c r="A209" s="3134"/>
      <c r="B209" s="1237" t="s">
        <v>21</v>
      </c>
      <c r="C209" s="3149"/>
      <c r="D209" s="2205">
        <f>E209+F209+G209+H209+I209+J209+K209+L209</f>
        <v>0</v>
      </c>
      <c r="E209" s="1259"/>
      <c r="F209" s="127">
        <v>0</v>
      </c>
      <c r="G209" s="127"/>
      <c r="H209" s="127"/>
      <c r="I209" s="127"/>
      <c r="J209" s="127"/>
      <c r="K209" s="127"/>
      <c r="L209" s="127"/>
      <c r="M209" s="37">
        <f>SUM(F209:I209)</f>
        <v>0</v>
      </c>
      <c r="N209" s="3095"/>
    </row>
    <row r="210" spans="1:15" ht="13.5" hidden="1" customHeight="1">
      <c r="A210" s="3134"/>
      <c r="B210" s="89" t="s">
        <v>22</v>
      </c>
      <c r="C210" s="22"/>
      <c r="D210" s="224">
        <f>+D211</f>
        <v>0</v>
      </c>
      <c r="E210" s="224">
        <v>0</v>
      </c>
      <c r="F210" s="224">
        <v>0</v>
      </c>
      <c r="G210" s="224"/>
      <c r="H210" s="224"/>
      <c r="I210" s="224"/>
      <c r="J210" s="224"/>
      <c r="K210" s="224"/>
      <c r="L210" s="224"/>
      <c r="M210" s="3169" t="s">
        <v>23</v>
      </c>
      <c r="N210" s="3095"/>
    </row>
    <row r="211" spans="1:15" s="298" customFormat="1" ht="14.25" hidden="1" customHeight="1">
      <c r="A211" s="3135"/>
      <c r="B211" s="256" t="s">
        <v>99</v>
      </c>
      <c r="C211" s="3091"/>
      <c r="D211" s="1240">
        <f>+D212</f>
        <v>0</v>
      </c>
      <c r="E211" s="128">
        <v>0</v>
      </c>
      <c r="F211" s="1123">
        <v>0</v>
      </c>
      <c r="G211" s="1123"/>
      <c r="H211" s="1123"/>
      <c r="I211" s="1123"/>
      <c r="J211" s="1123"/>
      <c r="K211" s="1123"/>
      <c r="L211" s="1123"/>
      <c r="M211" s="3162"/>
      <c r="N211" s="3095"/>
    </row>
    <row r="212" spans="1:15" s="298" customFormat="1" ht="12.75" hidden="1" customHeight="1" thickBot="1">
      <c r="A212" s="3136"/>
      <c r="B212" s="79" t="s">
        <v>21</v>
      </c>
      <c r="C212" s="3137"/>
      <c r="D212" s="2205">
        <f>E212+F212+G212+H212+I212+J212+K212+L212</f>
        <v>0</v>
      </c>
      <c r="E212" s="321"/>
      <c r="F212" s="606">
        <v>0</v>
      </c>
      <c r="G212" s="606"/>
      <c r="H212" s="606"/>
      <c r="I212" s="606"/>
      <c r="J212" s="606"/>
      <c r="K212" s="606"/>
      <c r="L212" s="606"/>
      <c r="M212" s="3163"/>
      <c r="N212" s="3101"/>
    </row>
    <row r="213" spans="1:15" ht="26.25" hidden="1" customHeight="1">
      <c r="A213" s="3133"/>
      <c r="B213" s="317"/>
      <c r="C213" s="64" t="s">
        <v>81</v>
      </c>
      <c r="D213" s="1252"/>
      <c r="E213" s="106"/>
      <c r="F213" s="107"/>
      <c r="G213" s="107"/>
      <c r="H213" s="107"/>
      <c r="I213" s="107"/>
      <c r="J213" s="107"/>
      <c r="K213" s="107"/>
      <c r="L213" s="107"/>
      <c r="M213" s="46"/>
      <c r="N213" s="3143" t="s">
        <v>260</v>
      </c>
    </row>
    <row r="214" spans="1:15" ht="13.5" hidden="1" customHeight="1">
      <c r="A214" s="3134"/>
      <c r="B214" s="21" t="s">
        <v>10</v>
      </c>
      <c r="C214" s="22"/>
      <c r="D214" s="69">
        <f t="shared" ref="D214" si="119">+D215+D217</f>
        <v>0</v>
      </c>
      <c r="E214" s="318">
        <v>0</v>
      </c>
      <c r="F214" s="69"/>
      <c r="G214" s="69"/>
      <c r="H214" s="69"/>
      <c r="I214" s="69"/>
      <c r="J214" s="69"/>
      <c r="K214" s="69"/>
      <c r="L214" s="69"/>
      <c r="M214" s="71">
        <f>+M215+M217</f>
        <v>0</v>
      </c>
      <c r="N214" s="3153"/>
      <c r="O214" s="563" t="e">
        <f>+#REF!+#REF!</f>
        <v>#REF!</v>
      </c>
    </row>
    <row r="215" spans="1:15" ht="13.5" hidden="1" customHeight="1">
      <c r="A215" s="3134"/>
      <c r="B215" s="189" t="s">
        <v>24</v>
      </c>
      <c r="C215" s="3091" t="s">
        <v>84</v>
      </c>
      <c r="D215" s="72">
        <f>+D216</f>
        <v>0</v>
      </c>
      <c r="E215" s="319">
        <v>0</v>
      </c>
      <c r="F215" s="72"/>
      <c r="G215" s="72"/>
      <c r="H215" s="72"/>
      <c r="I215" s="72"/>
      <c r="J215" s="72"/>
      <c r="K215" s="72"/>
      <c r="L215" s="72"/>
      <c r="M215" s="88">
        <f>+M216</f>
        <v>0</v>
      </c>
      <c r="N215" s="3153"/>
      <c r="O215" s="563"/>
    </row>
    <row r="216" spans="1:15" ht="13.5" hidden="1" customHeight="1">
      <c r="A216" s="3134"/>
      <c r="B216" s="520" t="s">
        <v>12</v>
      </c>
      <c r="C216" s="3147"/>
      <c r="D216" s="2205">
        <f>E216+F216+G216+H216+I216+J216+K216+L216</f>
        <v>0</v>
      </c>
      <c r="E216" s="321">
        <v>0</v>
      </c>
      <c r="F216" s="52"/>
      <c r="G216" s="52"/>
      <c r="H216" s="52"/>
      <c r="I216" s="52"/>
      <c r="J216" s="52"/>
      <c r="K216" s="52"/>
      <c r="L216" s="52"/>
      <c r="M216" s="37">
        <f>SUM(F216:I216)</f>
        <v>0</v>
      </c>
      <c r="N216" s="3153"/>
    </row>
    <row r="217" spans="1:15" ht="13.5" hidden="1" customHeight="1">
      <c r="A217" s="3134"/>
      <c r="B217" s="577" t="s">
        <v>18</v>
      </c>
      <c r="C217" s="3147"/>
      <c r="D217" s="53">
        <f>+D218</f>
        <v>0</v>
      </c>
      <c r="E217" s="300">
        <v>0</v>
      </c>
      <c r="F217" s="53"/>
      <c r="G217" s="53"/>
      <c r="H217" s="53"/>
      <c r="I217" s="53"/>
      <c r="J217" s="53"/>
      <c r="K217" s="53"/>
      <c r="L217" s="53"/>
      <c r="M217" s="88">
        <f>+M218</f>
        <v>0</v>
      </c>
      <c r="N217" s="3153"/>
    </row>
    <row r="218" spans="1:15" ht="13.5" hidden="1" customHeight="1">
      <c r="A218" s="3134"/>
      <c r="B218" s="1260" t="s">
        <v>21</v>
      </c>
      <c r="C218" s="3147"/>
      <c r="D218" s="2205">
        <f>E218+F218+G218+H218+I218+J218+K218+L218</f>
        <v>0</v>
      </c>
      <c r="E218" s="321">
        <v>0</v>
      </c>
      <c r="F218" s="52"/>
      <c r="G218" s="52"/>
      <c r="H218" s="52"/>
      <c r="I218" s="52"/>
      <c r="J218" s="52"/>
      <c r="K218" s="52"/>
      <c r="L218" s="52"/>
      <c r="M218" s="37">
        <f>SUM(F218:I218)</f>
        <v>0</v>
      </c>
      <c r="N218" s="3153"/>
    </row>
    <row r="219" spans="1:15" ht="12.75" hidden="1" customHeight="1">
      <c r="A219" s="3134"/>
      <c r="B219" s="21" t="s">
        <v>22</v>
      </c>
      <c r="C219" s="22"/>
      <c r="D219" s="224">
        <f>+D220</f>
        <v>0</v>
      </c>
      <c r="E219" s="1261">
        <v>0</v>
      </c>
      <c r="F219" s="224"/>
      <c r="G219" s="224"/>
      <c r="H219" s="224"/>
      <c r="I219" s="224"/>
      <c r="J219" s="224"/>
      <c r="K219" s="224"/>
      <c r="L219" s="224"/>
      <c r="M219" s="3169" t="s">
        <v>23</v>
      </c>
      <c r="N219" s="3211"/>
    </row>
    <row r="220" spans="1:15" s="298" customFormat="1" ht="12" hidden="1" customHeight="1">
      <c r="A220" s="3134"/>
      <c r="B220" s="577" t="s">
        <v>18</v>
      </c>
      <c r="C220" s="3091" t="s">
        <v>85</v>
      </c>
      <c r="D220" s="1123">
        <f>+D221</f>
        <v>0</v>
      </c>
      <c r="E220" s="1262">
        <v>0</v>
      </c>
      <c r="F220" s="1123"/>
      <c r="G220" s="1123"/>
      <c r="H220" s="1123"/>
      <c r="I220" s="1123"/>
      <c r="J220" s="1123"/>
      <c r="K220" s="1123"/>
      <c r="L220" s="1123"/>
      <c r="M220" s="3162"/>
      <c r="N220" s="3211"/>
    </row>
    <row r="221" spans="1:15" s="298" customFormat="1" ht="12.75" hidden="1" customHeight="1" thickBot="1">
      <c r="A221" s="3171"/>
      <c r="B221" s="60" t="s">
        <v>21</v>
      </c>
      <c r="C221" s="3137"/>
      <c r="D221" s="2205">
        <f>E221+F221+G221+H221+I221+J221+K221+L221</f>
        <v>0</v>
      </c>
      <c r="E221" s="1254">
        <v>0</v>
      </c>
      <c r="F221" s="607"/>
      <c r="G221" s="607"/>
      <c r="H221" s="607"/>
      <c r="I221" s="607"/>
      <c r="J221" s="607"/>
      <c r="K221" s="607"/>
      <c r="L221" s="607"/>
      <c r="M221" s="3163"/>
      <c r="N221" s="3212"/>
    </row>
    <row r="222" spans="1:15" s="298" customFormat="1" ht="16.5" customHeight="1" thickBot="1">
      <c r="A222" s="567"/>
      <c r="B222" s="314" t="s">
        <v>250</v>
      </c>
      <c r="C222" s="568"/>
      <c r="D222" s="1263"/>
      <c r="E222" s="2783"/>
      <c r="F222" s="1264"/>
      <c r="G222" s="1264"/>
      <c r="H222" s="1264"/>
      <c r="I222" s="1264"/>
      <c r="J222" s="1264"/>
      <c r="K222" s="1264"/>
      <c r="L222" s="1264"/>
      <c r="M222" s="569"/>
      <c r="N222" s="570"/>
    </row>
    <row r="223" spans="1:15" s="298" customFormat="1" ht="40.5" customHeight="1">
      <c r="A223" s="3133" t="s">
        <v>117</v>
      </c>
      <c r="B223" s="506" t="s">
        <v>534</v>
      </c>
      <c r="C223" s="64"/>
      <c r="D223" s="65"/>
      <c r="E223" s="45"/>
      <c r="F223" s="45"/>
      <c r="G223" s="45"/>
      <c r="H223" s="45"/>
      <c r="I223" s="45"/>
      <c r="J223" s="45"/>
      <c r="K223" s="45"/>
      <c r="L223" s="45"/>
      <c r="M223" s="46"/>
      <c r="N223" s="47"/>
      <c r="O223" s="262"/>
    </row>
    <row r="224" spans="1:15" s="298" customFormat="1" ht="13.5" customHeight="1">
      <c r="A224" s="3134"/>
      <c r="B224" s="495" t="s">
        <v>10</v>
      </c>
      <c r="C224" s="2233" t="s">
        <v>81</v>
      </c>
      <c r="D224" s="484">
        <f>+D225+D229</f>
        <v>11269318</v>
      </c>
      <c r="E224" s="473">
        <f t="shared" ref="E224" si="120">+E225+E229</f>
        <v>11266338</v>
      </c>
      <c r="F224" s="473">
        <f t="shared" ref="F224" si="121">+F225+F229</f>
        <v>2980</v>
      </c>
      <c r="G224" s="473"/>
      <c r="H224" s="473"/>
      <c r="I224" s="473"/>
      <c r="J224" s="473"/>
      <c r="K224" s="473"/>
      <c r="L224" s="473"/>
      <c r="M224" s="593">
        <f>M225+M229</f>
        <v>2980</v>
      </c>
      <c r="N224" s="3153" t="s">
        <v>87</v>
      </c>
      <c r="O224" s="3275" t="s">
        <v>488</v>
      </c>
    </row>
    <row r="225" spans="1:16" s="298" customFormat="1" ht="14.25" customHeight="1">
      <c r="A225" s="3134"/>
      <c r="B225" s="556" t="s">
        <v>24</v>
      </c>
      <c r="C225" s="3178" t="s">
        <v>84</v>
      </c>
      <c r="D225" s="485">
        <f>+D226+D227+D228</f>
        <v>726488</v>
      </c>
      <c r="E225" s="485">
        <f t="shared" ref="E225" si="122">+E226+E227+E228</f>
        <v>723508</v>
      </c>
      <c r="F225" s="485">
        <f t="shared" ref="F225" si="123">+F226+F227+F228</f>
        <v>2980</v>
      </c>
      <c r="G225" s="485"/>
      <c r="H225" s="485"/>
      <c r="I225" s="485"/>
      <c r="J225" s="485"/>
      <c r="K225" s="485"/>
      <c r="L225" s="485"/>
      <c r="M225" s="493">
        <f>M226</f>
        <v>2980</v>
      </c>
      <c r="N225" s="3153"/>
      <c r="O225" s="3275"/>
    </row>
    <row r="226" spans="1:16" s="298" customFormat="1" ht="12.75" customHeight="1">
      <c r="A226" s="3134"/>
      <c r="B226" s="1265" t="s">
        <v>12</v>
      </c>
      <c r="C226" s="3149"/>
      <c r="D226" s="280">
        <f>E226+F226+G226+H226+I226+J226+K226+L226</f>
        <v>726488</v>
      </c>
      <c r="E226" s="321">
        <v>723508</v>
      </c>
      <c r="F226" s="494">
        <f>3000+240-260</f>
        <v>2980</v>
      </c>
      <c r="G226" s="494"/>
      <c r="H226" s="494"/>
      <c r="I226" s="494"/>
      <c r="J226" s="494"/>
      <c r="K226" s="494"/>
      <c r="L226" s="494"/>
      <c r="M226" s="37">
        <f>SUM(F226:L226)</f>
        <v>2980</v>
      </c>
      <c r="N226" s="3153"/>
      <c r="O226" s="3275"/>
    </row>
    <row r="227" spans="1:16" s="298" customFormat="1" ht="14.25" hidden="1" customHeight="1">
      <c r="A227" s="3134"/>
      <c r="B227" s="2234" t="s">
        <v>17</v>
      </c>
      <c r="C227" s="3147"/>
      <c r="D227" s="576">
        <f>SUM(E227:I227)</f>
        <v>0</v>
      </c>
      <c r="E227" s="491"/>
      <c r="F227" s="492"/>
      <c r="G227" s="491"/>
      <c r="H227" s="491"/>
      <c r="I227" s="491"/>
      <c r="J227" s="231"/>
      <c r="K227" s="231"/>
      <c r="L227" s="231"/>
      <c r="M227" s="594"/>
      <c r="N227" s="3153"/>
      <c r="O227" s="3275"/>
    </row>
    <row r="228" spans="1:16" s="298" customFormat="1" ht="14.25" hidden="1" customHeight="1">
      <c r="A228" s="3134"/>
      <c r="B228" s="2234" t="s">
        <v>15</v>
      </c>
      <c r="C228" s="3147"/>
      <c r="D228" s="576">
        <f>SUM(E228:I228)</f>
        <v>0</v>
      </c>
      <c r="E228" s="491"/>
      <c r="F228" s="492"/>
      <c r="G228" s="491"/>
      <c r="H228" s="491"/>
      <c r="I228" s="491"/>
      <c r="J228" s="231"/>
      <c r="K228" s="231"/>
      <c r="L228" s="231"/>
      <c r="M228" s="594"/>
      <c r="N228" s="3153"/>
      <c r="O228" s="3275"/>
    </row>
    <row r="229" spans="1:16" s="298" customFormat="1" ht="14.25" customHeight="1">
      <c r="A229" s="3134"/>
      <c r="B229" s="2235" t="s">
        <v>18</v>
      </c>
      <c r="C229" s="3147"/>
      <c r="D229" s="490">
        <f>+D230</f>
        <v>10542830</v>
      </c>
      <c r="E229" s="490">
        <f t="shared" ref="E229" si="124">+E230</f>
        <v>10542830</v>
      </c>
      <c r="F229" s="490"/>
      <c r="G229" s="490"/>
      <c r="H229" s="490"/>
      <c r="I229" s="471"/>
      <c r="J229" s="490"/>
      <c r="K229" s="490"/>
      <c r="L229" s="490"/>
      <c r="M229" s="493">
        <f>M230</f>
        <v>0</v>
      </c>
      <c r="N229" s="3153"/>
      <c r="O229" s="3275"/>
    </row>
    <row r="230" spans="1:16" s="298" customFormat="1" ht="12.75" customHeight="1">
      <c r="A230" s="3134"/>
      <c r="B230" s="2218" t="s">
        <v>21</v>
      </c>
      <c r="C230" s="3148"/>
      <c r="D230" s="280">
        <f>E230+F230+G230+H230+I230+J230+K230+L230</f>
        <v>10542830</v>
      </c>
      <c r="E230" s="321">
        <v>10542830</v>
      </c>
      <c r="F230" s="492"/>
      <c r="G230" s="491"/>
      <c r="H230" s="491"/>
      <c r="I230" s="491"/>
      <c r="J230" s="492"/>
      <c r="K230" s="492"/>
      <c r="L230" s="492"/>
      <c r="M230" s="37">
        <f>SUM(F230:L230)</f>
        <v>0</v>
      </c>
      <c r="N230" s="3154"/>
      <c r="O230" s="3275"/>
    </row>
    <row r="231" spans="1:16" s="298" customFormat="1" ht="21.75" customHeight="1">
      <c r="A231" s="3135"/>
      <c r="B231" s="495" t="s">
        <v>22</v>
      </c>
      <c r="C231" s="798" t="s">
        <v>406</v>
      </c>
      <c r="D231" s="503">
        <f>+D235+D232</f>
        <v>10542830</v>
      </c>
      <c r="E231" s="503">
        <f t="shared" ref="E231" si="125">+E235+E232</f>
        <v>9094769</v>
      </c>
      <c r="F231" s="503">
        <f>+F235+F232</f>
        <v>1448061</v>
      </c>
      <c r="G231" s="503"/>
      <c r="H231" s="503"/>
      <c r="I231" s="503"/>
      <c r="J231" s="503"/>
      <c r="K231" s="503"/>
      <c r="L231" s="503"/>
      <c r="M231" s="3196" t="s">
        <v>23</v>
      </c>
      <c r="N231" s="3186" t="s">
        <v>104</v>
      </c>
      <c r="O231" s="1266"/>
      <c r="P231" s="1266">
        <v>-1217020</v>
      </c>
    </row>
    <row r="232" spans="1:16" s="298" customFormat="1" ht="14.25" hidden="1" customHeight="1">
      <c r="A232" s="3135"/>
      <c r="B232" s="556" t="s">
        <v>24</v>
      </c>
      <c r="C232" s="3178" t="s">
        <v>243</v>
      </c>
      <c r="D232" s="57">
        <f>+D233+D234</f>
        <v>0</v>
      </c>
      <c r="E232" s="57">
        <f t="shared" ref="E232" si="126">+E233+E234</f>
        <v>0</v>
      </c>
      <c r="F232" s="57">
        <f>+F233+F234</f>
        <v>0</v>
      </c>
      <c r="G232" s="57"/>
      <c r="H232" s="57"/>
      <c r="I232" s="57"/>
      <c r="J232" s="57"/>
      <c r="K232" s="57"/>
      <c r="L232" s="57"/>
      <c r="M232" s="3122"/>
      <c r="N232" s="3159"/>
    </row>
    <row r="233" spans="1:16" s="298" customFormat="1" ht="14.25" hidden="1" customHeight="1">
      <c r="A233" s="3135"/>
      <c r="B233" s="2234" t="s">
        <v>17</v>
      </c>
      <c r="C233" s="3149"/>
      <c r="D233" s="280">
        <f t="shared" ref="D233:D234" si="127">E233+F233+G233+H233+I233+J233+K233+L233</f>
        <v>0</v>
      </c>
      <c r="E233" s="595"/>
      <c r="F233" s="472">
        <v>0</v>
      </c>
      <c r="G233" s="472"/>
      <c r="H233" s="472"/>
      <c r="I233" s="472"/>
      <c r="J233" s="472"/>
      <c r="K233" s="472"/>
      <c r="L233" s="472"/>
      <c r="M233" s="3122"/>
      <c r="N233" s="3159"/>
    </row>
    <row r="234" spans="1:16" s="298" customFormat="1" hidden="1">
      <c r="A234" s="3135"/>
      <c r="B234" s="2234" t="s">
        <v>15</v>
      </c>
      <c r="C234" s="3149"/>
      <c r="D234" s="280">
        <f t="shared" si="127"/>
        <v>0</v>
      </c>
      <c r="E234" s="595"/>
      <c r="F234" s="595">
        <v>0</v>
      </c>
      <c r="G234" s="595"/>
      <c r="H234" s="595"/>
      <c r="I234" s="595"/>
      <c r="J234" s="595"/>
      <c r="K234" s="595"/>
      <c r="L234" s="595"/>
      <c r="M234" s="3122"/>
      <c r="N234" s="3159"/>
    </row>
    <row r="235" spans="1:16" s="298" customFormat="1" ht="14.25" customHeight="1">
      <c r="A235" s="3135"/>
      <c r="B235" s="2235" t="s">
        <v>18</v>
      </c>
      <c r="C235" s="3149"/>
      <c r="D235" s="490">
        <f>+D237+D236</f>
        <v>10542830</v>
      </c>
      <c r="E235" s="490">
        <f t="shared" ref="E235" si="128">+E237+E236</f>
        <v>9094769</v>
      </c>
      <c r="F235" s="490">
        <f>+F237+F236</f>
        <v>1448061</v>
      </c>
      <c r="G235" s="595"/>
      <c r="H235" s="595"/>
      <c r="I235" s="595"/>
      <c r="J235" s="595"/>
      <c r="K235" s="595"/>
      <c r="L235" s="595"/>
      <c r="M235" s="3122"/>
      <c r="N235" s="3159"/>
    </row>
    <row r="236" spans="1:16" s="298" customFormat="1" ht="14.25" hidden="1" customHeight="1">
      <c r="A236" s="3135"/>
      <c r="B236" s="2234" t="s">
        <v>17</v>
      </c>
      <c r="C236" s="3149"/>
      <c r="D236" s="280">
        <f>E236+F236+G236+H236+I236+J236+K236+L236</f>
        <v>0</v>
      </c>
      <c r="E236" s="2236"/>
      <c r="F236" s="491"/>
      <c r="G236" s="595"/>
      <c r="H236" s="595"/>
      <c r="I236" s="595"/>
      <c r="J236" s="595"/>
      <c r="K236" s="595"/>
      <c r="L236" s="595"/>
      <c r="M236" s="3122"/>
      <c r="N236" s="3159"/>
    </row>
    <row r="237" spans="1:16" s="299" customFormat="1" ht="14.25" customHeight="1" thickBot="1">
      <c r="A237" s="3136"/>
      <c r="B237" s="2237" t="s">
        <v>21</v>
      </c>
      <c r="C237" s="3137"/>
      <c r="D237" s="280">
        <f>E237+F237+G237+H237+I237+J237+K237+L237</f>
        <v>10542830</v>
      </c>
      <c r="E237" s="321">
        <v>9094769</v>
      </c>
      <c r="F237" s="2238">
        <f>650000+2917020-1915479-175827+17574-45227</f>
        <v>1448061</v>
      </c>
      <c r="G237" s="597"/>
      <c r="H237" s="597"/>
      <c r="I237" s="597"/>
      <c r="J237" s="597"/>
      <c r="K237" s="597"/>
      <c r="L237" s="597"/>
      <c r="M237" s="3123"/>
      <c r="N237" s="3160"/>
    </row>
    <row r="238" spans="1:16" ht="26.25" hidden="1" customHeight="1">
      <c r="A238" s="3133" t="s">
        <v>89</v>
      </c>
      <c r="B238" s="82"/>
      <c r="C238" s="64"/>
      <c r="D238" s="1252"/>
      <c r="E238" s="106"/>
      <c r="F238" s="107"/>
      <c r="G238" s="107"/>
      <c r="H238" s="107"/>
      <c r="I238" s="107"/>
      <c r="J238" s="107"/>
      <c r="K238" s="107"/>
      <c r="L238" s="107"/>
      <c r="M238" s="46"/>
      <c r="N238" s="100"/>
    </row>
    <row r="239" spans="1:16" ht="13.5" hidden="1" customHeight="1">
      <c r="A239" s="3134"/>
      <c r="B239" s="826" t="s">
        <v>10</v>
      </c>
      <c r="C239" s="1383" t="s">
        <v>81</v>
      </c>
      <c r="D239" s="1379"/>
      <c r="E239" s="1379"/>
      <c r="F239" s="1379"/>
      <c r="G239" s="1379"/>
      <c r="H239" s="1379"/>
      <c r="I239" s="1379"/>
      <c r="J239" s="1379"/>
      <c r="K239" s="1379"/>
      <c r="L239" s="1379"/>
      <c r="M239" s="1358">
        <f>+M240+M243</f>
        <v>0</v>
      </c>
      <c r="N239" s="3153" t="s">
        <v>87</v>
      </c>
      <c r="O239" s="563"/>
    </row>
    <row r="240" spans="1:16" ht="13.5" hidden="1" customHeight="1">
      <c r="A240" s="3134"/>
      <c r="B240" s="783" t="s">
        <v>24</v>
      </c>
      <c r="C240" s="3106" t="s">
        <v>84</v>
      </c>
      <c r="D240" s="1042"/>
      <c r="E240" s="1042"/>
      <c r="F240" s="1042"/>
      <c r="G240" s="1042"/>
      <c r="H240" s="1042"/>
      <c r="I240" s="1042"/>
      <c r="J240" s="1042"/>
      <c r="K240" s="1042"/>
      <c r="L240" s="1042"/>
      <c r="M240" s="804">
        <f>+M241+M242</f>
        <v>0</v>
      </c>
      <c r="N240" s="3153"/>
      <c r="O240" s="563"/>
    </row>
    <row r="241" spans="1:16" ht="13.5" hidden="1" customHeight="1">
      <c r="A241" s="3134"/>
      <c r="B241" s="1032" t="s">
        <v>12</v>
      </c>
      <c r="C241" s="3147"/>
      <c r="D241" s="1345"/>
      <c r="E241" s="1369"/>
      <c r="F241" s="998"/>
      <c r="G241" s="998"/>
      <c r="H241" s="998"/>
      <c r="I241" s="998"/>
      <c r="J241" s="998"/>
      <c r="K241" s="998"/>
      <c r="L241" s="998"/>
      <c r="M241" s="1381">
        <f>SUM(F241:L241)</f>
        <v>0</v>
      </c>
      <c r="N241" s="3153"/>
    </row>
    <row r="242" spans="1:16" ht="13.5" hidden="1" customHeight="1">
      <c r="A242" s="3134"/>
      <c r="B242" s="1380" t="s">
        <v>15</v>
      </c>
      <c r="C242" s="3147"/>
      <c r="D242" s="1345"/>
      <c r="E242" s="1369"/>
      <c r="F242" s="998"/>
      <c r="G242" s="998"/>
      <c r="H242" s="998"/>
      <c r="I242" s="998"/>
      <c r="J242" s="998"/>
      <c r="K242" s="998"/>
      <c r="L242" s="998"/>
      <c r="M242" s="1381">
        <f>SUM(F242:L242)</f>
        <v>0</v>
      </c>
      <c r="N242" s="3153"/>
    </row>
    <row r="243" spans="1:16" ht="13.5" hidden="1" customHeight="1">
      <c r="A243" s="3134"/>
      <c r="B243" s="1386" t="s">
        <v>18</v>
      </c>
      <c r="C243" s="3147"/>
      <c r="D243" s="808"/>
      <c r="E243" s="808"/>
      <c r="F243" s="808"/>
      <c r="G243" s="808"/>
      <c r="H243" s="808"/>
      <c r="I243" s="808"/>
      <c r="J243" s="808"/>
      <c r="K243" s="808"/>
      <c r="L243" s="808"/>
      <c r="M243" s="804">
        <f>+M244</f>
        <v>0</v>
      </c>
      <c r="N243" s="3153"/>
    </row>
    <row r="244" spans="1:16" ht="13.5" hidden="1" customHeight="1">
      <c r="A244" s="3134"/>
      <c r="B244" s="844" t="s">
        <v>21</v>
      </c>
      <c r="C244" s="3148"/>
      <c r="D244" s="1345"/>
      <c r="E244" s="1369"/>
      <c r="F244" s="998"/>
      <c r="G244" s="998"/>
      <c r="H244" s="998"/>
      <c r="I244" s="998"/>
      <c r="J244" s="998"/>
      <c r="K244" s="998"/>
      <c r="L244" s="998"/>
      <c r="M244" s="1381">
        <f>SUM(F244:L244)</f>
        <v>0</v>
      </c>
      <c r="N244" s="3154"/>
    </row>
    <row r="245" spans="1:16" ht="24" hidden="1" customHeight="1">
      <c r="A245" s="3135"/>
      <c r="B245" s="626" t="s">
        <v>22</v>
      </c>
      <c r="C245" s="798" t="s">
        <v>406</v>
      </c>
      <c r="D245" s="982"/>
      <c r="E245" s="982"/>
      <c r="F245" s="982"/>
      <c r="G245" s="982"/>
      <c r="H245" s="982"/>
      <c r="I245" s="982"/>
      <c r="J245" s="982"/>
      <c r="K245" s="982"/>
      <c r="L245" s="982"/>
      <c r="M245" s="3161" t="s">
        <v>23</v>
      </c>
      <c r="N245" s="3158" t="s">
        <v>104</v>
      </c>
      <c r="O245" s="563"/>
      <c r="P245" s="563">
        <v>-1230552</v>
      </c>
    </row>
    <row r="246" spans="1:16" ht="12" hidden="1" customHeight="1">
      <c r="A246" s="3135"/>
      <c r="B246" s="1388" t="s">
        <v>24</v>
      </c>
      <c r="C246" s="3106" t="s">
        <v>243</v>
      </c>
      <c r="D246" s="808"/>
      <c r="E246" s="808"/>
      <c r="F246" s="808"/>
      <c r="G246" s="808"/>
      <c r="H246" s="808"/>
      <c r="I246" s="808"/>
      <c r="J246" s="808"/>
      <c r="K246" s="808"/>
      <c r="L246" s="808"/>
      <c r="M246" s="3162"/>
      <c r="N246" s="3159"/>
    </row>
    <row r="247" spans="1:16" ht="12" hidden="1" customHeight="1">
      <c r="A247" s="3135"/>
      <c r="B247" s="1380" t="s">
        <v>15</v>
      </c>
      <c r="C247" s="3149"/>
      <c r="D247" s="1345"/>
      <c r="E247" s="1369"/>
      <c r="F247" s="1362"/>
      <c r="G247" s="1362"/>
      <c r="H247" s="1362"/>
      <c r="I247" s="1362"/>
      <c r="J247" s="1362"/>
      <c r="K247" s="1362"/>
      <c r="L247" s="1362"/>
      <c r="M247" s="3162"/>
      <c r="N247" s="3159"/>
    </row>
    <row r="248" spans="1:16" s="298" customFormat="1" ht="13.5" hidden="1" customHeight="1">
      <c r="A248" s="3135"/>
      <c r="B248" s="837" t="s">
        <v>18</v>
      </c>
      <c r="C248" s="3149"/>
      <c r="D248" s="1281"/>
      <c r="E248" s="851"/>
      <c r="F248" s="1281"/>
      <c r="G248" s="1281"/>
      <c r="H248" s="1281"/>
      <c r="I248" s="1281"/>
      <c r="J248" s="1281"/>
      <c r="K248" s="1281"/>
      <c r="L248" s="1281"/>
      <c r="M248" s="3162"/>
      <c r="N248" s="3159"/>
    </row>
    <row r="249" spans="1:16" s="298" customFormat="1" ht="13.5" hidden="1" thickBot="1">
      <c r="A249" s="3136"/>
      <c r="B249" s="1389" t="s">
        <v>21</v>
      </c>
      <c r="C249" s="3137"/>
      <c r="D249" s="1337"/>
      <c r="E249" s="1337"/>
      <c r="F249" s="607"/>
      <c r="G249" s="607"/>
      <c r="H249" s="607"/>
      <c r="I249" s="607"/>
      <c r="J249" s="607"/>
      <c r="K249" s="607"/>
      <c r="L249" s="607"/>
      <c r="M249" s="3163"/>
      <c r="N249" s="3160"/>
    </row>
    <row r="250" spans="1:16" ht="32.25" customHeight="1">
      <c r="A250" s="3133" t="s">
        <v>88</v>
      </c>
      <c r="B250" s="82" t="s">
        <v>574</v>
      </c>
      <c r="C250" s="64"/>
      <c r="D250" s="65"/>
      <c r="E250" s="45"/>
      <c r="F250" s="45"/>
      <c r="G250" s="45"/>
      <c r="H250" s="45"/>
      <c r="I250" s="45"/>
      <c r="J250" s="266"/>
      <c r="K250" s="266"/>
      <c r="L250" s="266"/>
      <c r="M250" s="68"/>
      <c r="N250" s="47"/>
    </row>
    <row r="251" spans="1:16" ht="14.25" customHeight="1">
      <c r="A251" s="3134"/>
      <c r="B251" s="1410" t="s">
        <v>10</v>
      </c>
      <c r="C251" s="1383" t="s">
        <v>81</v>
      </c>
      <c r="D251" s="1379">
        <f t="shared" ref="D251:F251" si="129">+D252+D256</f>
        <v>42919817</v>
      </c>
      <c r="E251" s="1379">
        <f t="shared" ref="E251" si="130">+E252+E256</f>
        <v>21145902</v>
      </c>
      <c r="F251" s="1379">
        <f t="shared" si="129"/>
        <v>21773915</v>
      </c>
      <c r="G251" s="1379"/>
      <c r="H251" s="1379"/>
      <c r="I251" s="1379"/>
      <c r="J251" s="1379"/>
      <c r="K251" s="1379"/>
      <c r="L251" s="1379"/>
      <c r="M251" s="1358">
        <f>M252+M256</f>
        <v>21773915</v>
      </c>
      <c r="N251" s="3153" t="s">
        <v>87</v>
      </c>
    </row>
    <row r="252" spans="1:16" ht="12" customHeight="1">
      <c r="A252" s="3134"/>
      <c r="B252" s="1388" t="s">
        <v>24</v>
      </c>
      <c r="C252" s="3106" t="s">
        <v>84</v>
      </c>
      <c r="D252" s="1042">
        <f>+D253+D254+D255</f>
        <v>5784734</v>
      </c>
      <c r="E252" s="1042">
        <f t="shared" ref="E252" si="131">+E253+E254+E255</f>
        <v>3234734</v>
      </c>
      <c r="F252" s="1042">
        <f t="shared" ref="F252" si="132">+F253+F254+F255</f>
        <v>2550000</v>
      </c>
      <c r="G252" s="1042"/>
      <c r="H252" s="1042"/>
      <c r="I252" s="1042"/>
      <c r="J252" s="1042"/>
      <c r="K252" s="1042"/>
      <c r="L252" s="1042"/>
      <c r="M252" s="804">
        <f>+M253+M255</f>
        <v>2550000</v>
      </c>
      <c r="N252" s="3153"/>
      <c r="O252" s="262" t="s">
        <v>522</v>
      </c>
    </row>
    <row r="253" spans="1:16" ht="11.25" customHeight="1">
      <c r="A253" s="3134"/>
      <c r="B253" s="2239" t="s">
        <v>12</v>
      </c>
      <c r="C253" s="3149"/>
      <c r="D253" s="280">
        <f>E253+F253+G253+H253+I253+J253+K253+L253</f>
        <v>4284734</v>
      </c>
      <c r="E253" s="321">
        <v>2234734</v>
      </c>
      <c r="F253" s="1369">
        <f>1933354-1900000+166646+197047+159852+78533+2000000-585432</f>
        <v>2050000</v>
      </c>
      <c r="G253" s="998"/>
      <c r="H253" s="998"/>
      <c r="I253" s="998"/>
      <c r="J253" s="998"/>
      <c r="K253" s="998"/>
      <c r="L253" s="998"/>
      <c r="M253" s="1381">
        <f>SUM(F253:L253)</f>
        <v>2050000</v>
      </c>
      <c r="N253" s="3153"/>
    </row>
    <row r="254" spans="1:16" ht="12" hidden="1" customHeight="1">
      <c r="A254" s="3134"/>
      <c r="B254" s="1032" t="s">
        <v>17</v>
      </c>
      <c r="C254" s="3149"/>
      <c r="D254" s="280">
        <f>E254+F254+G254+H254+I254+J254+K254+L254</f>
        <v>0</v>
      </c>
      <c r="E254" s="999"/>
      <c r="F254" s="998"/>
      <c r="G254" s="998"/>
      <c r="H254" s="998"/>
      <c r="I254" s="998"/>
      <c r="J254" s="231"/>
      <c r="K254" s="231"/>
      <c r="L254" s="231"/>
      <c r="M254" s="76"/>
      <c r="N254" s="3153"/>
    </row>
    <row r="255" spans="1:16" ht="12" customHeight="1">
      <c r="A255" s="3134"/>
      <c r="B255" s="1380" t="s">
        <v>15</v>
      </c>
      <c r="C255" s="3149"/>
      <c r="D255" s="280">
        <f>E255+F255+G255+H255+I255+J255+K255+L255</f>
        <v>1500000</v>
      </c>
      <c r="E255" s="321">
        <v>1000000</v>
      </c>
      <c r="F255" s="998">
        <v>500000</v>
      </c>
      <c r="G255" s="998"/>
      <c r="H255" s="998"/>
      <c r="I255" s="998"/>
      <c r="J255" s="999"/>
      <c r="K255" s="999"/>
      <c r="L255" s="999"/>
      <c r="M255" s="1381">
        <f>SUM(F255:L255)</f>
        <v>500000</v>
      </c>
      <c r="N255" s="3153"/>
    </row>
    <row r="256" spans="1:16">
      <c r="A256" s="3134"/>
      <c r="B256" s="3021" t="s">
        <v>18</v>
      </c>
      <c r="C256" s="3149"/>
      <c r="D256" s="808">
        <f t="shared" ref="D256:F256" si="133">+D257+D258</f>
        <v>37135083</v>
      </c>
      <c r="E256" s="808">
        <f t="shared" si="133"/>
        <v>17911168</v>
      </c>
      <c r="F256" s="808">
        <f t="shared" si="133"/>
        <v>19223915</v>
      </c>
      <c r="G256" s="808"/>
      <c r="H256" s="808"/>
      <c r="I256" s="808"/>
      <c r="J256" s="808"/>
      <c r="K256" s="808"/>
      <c r="L256" s="808"/>
      <c r="M256" s="804">
        <f>+M257+M258</f>
        <v>19223915</v>
      </c>
      <c r="N256" s="3153"/>
    </row>
    <row r="257" spans="1:16" ht="12" hidden="1" customHeight="1">
      <c r="A257" s="3134"/>
      <c r="B257" s="1032" t="s">
        <v>17</v>
      </c>
      <c r="C257" s="3149"/>
      <c r="D257" s="1362">
        <v>0</v>
      </c>
      <c r="E257" s="1017"/>
      <c r="F257" s="998"/>
      <c r="G257" s="998"/>
      <c r="H257" s="998"/>
      <c r="I257" s="998"/>
      <c r="J257" s="231"/>
      <c r="K257" s="231"/>
      <c r="L257" s="231"/>
      <c r="M257" s="76"/>
      <c r="N257" s="3153"/>
    </row>
    <row r="258" spans="1:16" ht="12" customHeight="1">
      <c r="A258" s="3134"/>
      <c r="B258" s="1032" t="s">
        <v>21</v>
      </c>
      <c r="C258" s="3124"/>
      <c r="D258" s="280">
        <f>E258+F258+G258+H258+I258+J258+K258+L258</f>
        <v>37135083</v>
      </c>
      <c r="E258" s="321">
        <v>17911168</v>
      </c>
      <c r="F258" s="1369">
        <f>10955672-8630312+17358828-100+791-377238-83726</f>
        <v>19223915</v>
      </c>
      <c r="G258" s="998"/>
      <c r="H258" s="998"/>
      <c r="I258" s="998"/>
      <c r="J258" s="998"/>
      <c r="K258" s="998"/>
      <c r="L258" s="998"/>
      <c r="M258" s="1381">
        <f>SUM(F258:L258)</f>
        <v>19223915</v>
      </c>
      <c r="N258" s="3154"/>
      <c r="O258" s="563">
        <f>D258-D265</f>
        <v>0</v>
      </c>
    </row>
    <row r="259" spans="1:16" ht="21.75" customHeight="1">
      <c r="A259" s="3134"/>
      <c r="B259" s="91" t="s">
        <v>22</v>
      </c>
      <c r="C259" s="798" t="s">
        <v>406</v>
      </c>
      <c r="D259" s="982">
        <f t="shared" ref="D259:G259" si="134">+D263+D260</f>
        <v>38635083</v>
      </c>
      <c r="E259" s="982">
        <v>14036781</v>
      </c>
      <c r="F259" s="982">
        <f t="shared" si="134"/>
        <v>24046022</v>
      </c>
      <c r="G259" s="982">
        <f t="shared" si="134"/>
        <v>552280</v>
      </c>
      <c r="H259" s="982"/>
      <c r="I259" s="982"/>
      <c r="J259" s="982"/>
      <c r="K259" s="982"/>
      <c r="L259" s="982"/>
      <c r="M259" s="3161" t="s">
        <v>23</v>
      </c>
      <c r="N259" s="3158" t="s">
        <v>104</v>
      </c>
      <c r="O259" s="563"/>
      <c r="P259" s="563">
        <v>-14140496</v>
      </c>
    </row>
    <row r="260" spans="1:16" ht="15" customHeight="1">
      <c r="A260" s="3134"/>
      <c r="B260" s="1388" t="s">
        <v>24</v>
      </c>
      <c r="C260" s="3106" t="s">
        <v>243</v>
      </c>
      <c r="D260" s="808">
        <f>+D261+D262</f>
        <v>1500000</v>
      </c>
      <c r="E260" s="808">
        <v>1000000</v>
      </c>
      <c r="F260" s="808">
        <f>+F261+F262</f>
        <v>500000</v>
      </c>
      <c r="G260" s="808"/>
      <c r="H260" s="808"/>
      <c r="I260" s="808"/>
      <c r="J260" s="808"/>
      <c r="K260" s="808"/>
      <c r="L260" s="808"/>
      <c r="M260" s="3162"/>
      <c r="N260" s="3159"/>
    </row>
    <row r="261" spans="1:16" ht="12" hidden="1" customHeight="1">
      <c r="A261" s="3134"/>
      <c r="B261" s="1380" t="s">
        <v>17</v>
      </c>
      <c r="C261" s="3149"/>
      <c r="D261" s="1345">
        <f>SUM(E261:I261)</f>
        <v>0</v>
      </c>
      <c r="E261" s="3022"/>
      <c r="F261" s="1362">
        <v>0</v>
      </c>
      <c r="G261" s="1362"/>
      <c r="H261" s="1362"/>
      <c r="I261" s="1362"/>
      <c r="J261" s="1362"/>
      <c r="K261" s="1362"/>
      <c r="L261" s="1362"/>
      <c r="M261" s="3162"/>
      <c r="N261" s="3159"/>
    </row>
    <row r="262" spans="1:16" ht="14.25" customHeight="1">
      <c r="A262" s="3134"/>
      <c r="B262" s="1380" t="s">
        <v>15</v>
      </c>
      <c r="C262" s="3149"/>
      <c r="D262" s="280">
        <f>E262+F262+G262+H262+I262+J262+K262+L262</f>
        <v>1500000</v>
      </c>
      <c r="E262" s="321">
        <v>1000000</v>
      </c>
      <c r="F262" s="1362">
        <v>500000</v>
      </c>
      <c r="G262" s="1362"/>
      <c r="H262" s="1362"/>
      <c r="I262" s="1362"/>
      <c r="J262" s="1362"/>
      <c r="K262" s="1362"/>
      <c r="L262" s="1362"/>
      <c r="M262" s="3162"/>
      <c r="N262" s="3159"/>
    </row>
    <row r="263" spans="1:16" ht="13.5" customHeight="1">
      <c r="A263" s="3134"/>
      <c r="B263" s="1386" t="s">
        <v>18</v>
      </c>
      <c r="C263" s="3149"/>
      <c r="D263" s="1281">
        <f t="shared" ref="D263" si="135">+D264+D265</f>
        <v>37135083</v>
      </c>
      <c r="E263" s="1281">
        <v>13036781</v>
      </c>
      <c r="F263" s="3023">
        <f>+F264+F265</f>
        <v>23546022</v>
      </c>
      <c r="G263" s="3023">
        <f>+G264+G265</f>
        <v>552280</v>
      </c>
      <c r="H263" s="3023"/>
      <c r="I263" s="3023"/>
      <c r="J263" s="3023"/>
      <c r="K263" s="3023"/>
      <c r="L263" s="3023"/>
      <c r="M263" s="3162"/>
      <c r="N263" s="3159"/>
    </row>
    <row r="264" spans="1:16" ht="12" hidden="1" customHeight="1">
      <c r="A264" s="3134"/>
      <c r="B264" s="1032" t="s">
        <v>17</v>
      </c>
      <c r="C264" s="3149"/>
      <c r="D264" s="1345">
        <f>SUM(E264:I264)</f>
        <v>0</v>
      </c>
      <c r="E264" s="3022"/>
      <c r="F264" s="1362"/>
      <c r="G264" s="1362"/>
      <c r="H264" s="1362"/>
      <c r="I264" s="1362"/>
      <c r="J264" s="1362"/>
      <c r="K264" s="1362"/>
      <c r="L264" s="1362"/>
      <c r="M264" s="3162"/>
      <c r="N264" s="3159"/>
    </row>
    <row r="265" spans="1:16" ht="14.25" customHeight="1" thickBot="1">
      <c r="A265" s="3171"/>
      <c r="B265" s="2207" t="s">
        <v>21</v>
      </c>
      <c r="C265" s="3137"/>
      <c r="D265" s="280">
        <f>E265+F265+G265+H265+I265+J265+K265+L265</f>
        <v>37135083</v>
      </c>
      <c r="E265" s="321">
        <v>13036781</v>
      </c>
      <c r="F265" s="1337">
        <f>10955672-500000+20900496-6760000-36782-120-377238-636006</f>
        <v>23546022</v>
      </c>
      <c r="G265" s="2208">
        <v>552280</v>
      </c>
      <c r="H265" s="2208"/>
      <c r="I265" s="2208"/>
      <c r="J265" s="2208"/>
      <c r="K265" s="2208"/>
      <c r="L265" s="2208"/>
      <c r="M265" s="3163"/>
      <c r="N265" s="3160"/>
    </row>
    <row r="266" spans="1:16" ht="30" customHeight="1">
      <c r="A266" s="3133" t="s">
        <v>89</v>
      </c>
      <c r="B266" s="82" t="s">
        <v>575</v>
      </c>
      <c r="C266" s="64"/>
      <c r="D266" s="65"/>
      <c r="E266" s="45"/>
      <c r="F266" s="45"/>
      <c r="G266" s="45"/>
      <c r="H266" s="45"/>
      <c r="I266" s="45"/>
      <c r="J266" s="45"/>
      <c r="K266" s="45"/>
      <c r="L266" s="45"/>
      <c r="M266" s="46"/>
      <c r="N266" s="100"/>
    </row>
    <row r="267" spans="1:16" ht="13.5" customHeight="1">
      <c r="A267" s="3134"/>
      <c r="B267" s="826" t="s">
        <v>10</v>
      </c>
      <c r="C267" s="3024" t="s">
        <v>81</v>
      </c>
      <c r="D267" s="2964">
        <f t="shared" ref="D267" si="136">+D268+D271</f>
        <v>7514781</v>
      </c>
      <c r="E267" s="2848">
        <v>5452510</v>
      </c>
      <c r="F267" s="2848">
        <f>+F268+F271</f>
        <v>2062271</v>
      </c>
      <c r="G267" s="2848"/>
      <c r="H267" s="2848"/>
      <c r="I267" s="2848"/>
      <c r="J267" s="2848"/>
      <c r="K267" s="2848"/>
      <c r="L267" s="2848"/>
      <c r="M267" s="2849">
        <f>M268+M271</f>
        <v>2062271</v>
      </c>
      <c r="N267" s="3153" t="s">
        <v>87</v>
      </c>
      <c r="O267" s="563"/>
    </row>
    <row r="268" spans="1:16" ht="13.5" customHeight="1">
      <c r="A268" s="3134"/>
      <c r="B268" s="783" t="s">
        <v>24</v>
      </c>
      <c r="C268" s="3146" t="s">
        <v>84</v>
      </c>
      <c r="D268" s="2965">
        <f>+D269+D270</f>
        <v>17824</v>
      </c>
      <c r="E268" s="2965">
        <v>11019</v>
      </c>
      <c r="F268" s="2965">
        <f>+F269+F270</f>
        <v>6805</v>
      </c>
      <c r="G268" s="2965"/>
      <c r="H268" s="2965"/>
      <c r="I268" s="2965"/>
      <c r="J268" s="2965"/>
      <c r="K268" s="2965"/>
      <c r="L268" s="2965"/>
      <c r="M268" s="2938">
        <f>M269</f>
        <v>6805</v>
      </c>
      <c r="N268" s="3153"/>
      <c r="O268" s="563"/>
    </row>
    <row r="269" spans="1:16" ht="11.25" customHeight="1">
      <c r="A269" s="3134"/>
      <c r="B269" s="1390" t="s">
        <v>12</v>
      </c>
      <c r="C269" s="3147"/>
      <c r="D269" s="2819">
        <f>E269+F269+G269+H269+I269+J269+K269+L269</f>
        <v>17824</v>
      </c>
      <c r="E269" s="2903">
        <v>11019</v>
      </c>
      <c r="F269" s="2903">
        <f>465000-265000-181024-12171</f>
        <v>6805</v>
      </c>
      <c r="G269" s="2903"/>
      <c r="H269" s="2903"/>
      <c r="I269" s="2903"/>
      <c r="J269" s="2903"/>
      <c r="K269" s="2903"/>
      <c r="L269" s="2903"/>
      <c r="M269" s="2968">
        <f>SUM(F269:L269)</f>
        <v>6805</v>
      </c>
      <c r="N269" s="3153"/>
      <c r="O269" s="563"/>
    </row>
    <row r="270" spans="1:16" ht="10.5" hidden="1" customHeight="1">
      <c r="A270" s="3134"/>
      <c r="B270" s="2240" t="s">
        <v>15</v>
      </c>
      <c r="C270" s="3147"/>
      <c r="D270" s="2819">
        <f>SUM(E270:I270)</f>
        <v>0</v>
      </c>
      <c r="E270" s="3025">
        <v>0</v>
      </c>
      <c r="F270" s="3026"/>
      <c r="G270" s="3026"/>
      <c r="H270" s="3026"/>
      <c r="I270" s="3026"/>
      <c r="J270" s="231"/>
      <c r="K270" s="231"/>
      <c r="L270" s="231"/>
      <c r="M270" s="76"/>
      <c r="N270" s="3153"/>
    </row>
    <row r="271" spans="1:16" ht="12.75" customHeight="1">
      <c r="A271" s="3134"/>
      <c r="B271" s="1386" t="s">
        <v>18</v>
      </c>
      <c r="C271" s="3147"/>
      <c r="D271" s="2937">
        <f>+D272</f>
        <v>7496957</v>
      </c>
      <c r="E271" s="2859">
        <v>5441491</v>
      </c>
      <c r="F271" s="2859">
        <f t="shared" ref="F271" si="137">+F272</f>
        <v>2055466</v>
      </c>
      <c r="G271" s="2859"/>
      <c r="H271" s="2859"/>
      <c r="I271" s="2859"/>
      <c r="J271" s="2937"/>
      <c r="K271" s="2937"/>
      <c r="L271" s="2937"/>
      <c r="M271" s="2938">
        <f>M272</f>
        <v>2055466</v>
      </c>
      <c r="N271" s="3153"/>
    </row>
    <row r="272" spans="1:16" ht="12" customHeight="1">
      <c r="A272" s="3134"/>
      <c r="B272" s="1390" t="s">
        <v>21</v>
      </c>
      <c r="C272" s="3148"/>
      <c r="D272" s="3027">
        <f>E272+F272+G272+H272+I272+J272+K272+L272</f>
        <v>7496957</v>
      </c>
      <c r="E272" s="2903">
        <v>5441491</v>
      </c>
      <c r="F272" s="2903">
        <f>2635000-453934+78594+359189+72844-602886-33341</f>
        <v>2055466</v>
      </c>
      <c r="G272" s="2903"/>
      <c r="H272" s="2856"/>
      <c r="I272" s="2856"/>
      <c r="J272" s="2967"/>
      <c r="K272" s="2967"/>
      <c r="L272" s="2967"/>
      <c r="M272" s="2968">
        <f>SUM(F272:L272)</f>
        <v>2055466</v>
      </c>
      <c r="N272" s="3154"/>
    </row>
    <row r="273" spans="1:16" ht="22.5">
      <c r="A273" s="3135"/>
      <c r="B273" s="104" t="s">
        <v>22</v>
      </c>
      <c r="C273" s="798" t="s">
        <v>406</v>
      </c>
      <c r="D273" s="116">
        <f t="shared" ref="D273" si="138">+D274+D276</f>
        <v>7496957</v>
      </c>
      <c r="E273" s="263">
        <v>3015669</v>
      </c>
      <c r="F273" s="263">
        <f>+F274+F276</f>
        <v>4481288</v>
      </c>
      <c r="G273" s="263"/>
      <c r="H273" s="263"/>
      <c r="I273" s="263"/>
      <c r="J273" s="263"/>
      <c r="K273" s="263"/>
      <c r="L273" s="263"/>
      <c r="M273" s="3195" t="s">
        <v>23</v>
      </c>
      <c r="N273" s="3237" t="s">
        <v>104</v>
      </c>
      <c r="O273" s="563"/>
      <c r="P273" s="563">
        <v>-1435987</v>
      </c>
    </row>
    <row r="274" spans="1:16" ht="13.5" hidden="1" customHeight="1">
      <c r="A274" s="3135"/>
      <c r="B274" s="2942" t="s">
        <v>24</v>
      </c>
      <c r="C274" s="3241" t="s">
        <v>258</v>
      </c>
      <c r="D274" s="57">
        <f>+D275</f>
        <v>0</v>
      </c>
      <c r="E274" s="301">
        <v>0</v>
      </c>
      <c r="F274" s="57"/>
      <c r="G274" s="57"/>
      <c r="H274" s="57"/>
      <c r="I274" s="57"/>
      <c r="J274" s="57"/>
      <c r="K274" s="57"/>
      <c r="L274" s="57"/>
      <c r="M274" s="3122"/>
      <c r="N274" s="3184"/>
    </row>
    <row r="275" spans="1:16" hidden="1">
      <c r="A275" s="3135"/>
      <c r="B275" s="103" t="s">
        <v>15</v>
      </c>
      <c r="C275" s="3173"/>
      <c r="D275" s="2819">
        <f>SUM(E275:I275)</f>
        <v>0</v>
      </c>
      <c r="E275" s="3028">
        <v>0</v>
      </c>
      <c r="F275" s="2858"/>
      <c r="G275" s="2858"/>
      <c r="H275" s="2858"/>
      <c r="I275" s="2858"/>
      <c r="J275" s="2858"/>
      <c r="K275" s="2858"/>
      <c r="L275" s="2858"/>
      <c r="M275" s="3122"/>
      <c r="N275" s="3184"/>
    </row>
    <row r="276" spans="1:16" ht="12" customHeight="1">
      <c r="A276" s="3135"/>
      <c r="B276" s="3029" t="s">
        <v>18</v>
      </c>
      <c r="C276" s="3173"/>
      <c r="D276" s="2937">
        <f t="shared" ref="D276:F276" si="139">+D277</f>
        <v>7496957</v>
      </c>
      <c r="E276" s="2859">
        <v>3015669</v>
      </c>
      <c r="F276" s="2859">
        <f t="shared" si="139"/>
        <v>4481288</v>
      </c>
      <c r="G276" s="2859"/>
      <c r="H276" s="2859"/>
      <c r="I276" s="2859"/>
      <c r="J276" s="2859"/>
      <c r="K276" s="2859"/>
      <c r="L276" s="2859"/>
      <c r="M276" s="3122"/>
      <c r="N276" s="3184"/>
    </row>
    <row r="277" spans="1:16" ht="13.5" customHeight="1" thickBot="1">
      <c r="A277" s="3136"/>
      <c r="B277" s="1389" t="s">
        <v>21</v>
      </c>
      <c r="C277" s="3174"/>
      <c r="D277" s="1337">
        <f>E277+F277+G277+H277+I277+J277+K277+L277</f>
        <v>7496957</v>
      </c>
      <c r="E277" s="1337">
        <v>3015669</v>
      </c>
      <c r="F277" s="620">
        <f>3735000+1575987-141817-15669-35986-602886-33341</f>
        <v>4481288</v>
      </c>
      <c r="G277" s="620"/>
      <c r="H277" s="620"/>
      <c r="I277" s="620"/>
      <c r="J277" s="620"/>
      <c r="K277" s="620"/>
      <c r="L277" s="620"/>
      <c r="M277" s="3123"/>
      <c r="N277" s="3185"/>
    </row>
    <row r="278" spans="1:16" ht="22.5" customHeight="1">
      <c r="A278" s="3133" t="s">
        <v>90</v>
      </c>
      <c r="B278" s="82" t="s">
        <v>535</v>
      </c>
      <c r="C278" s="64" t="s">
        <v>81</v>
      </c>
      <c r="D278" s="65"/>
      <c r="E278" s="45"/>
      <c r="F278" s="45"/>
      <c r="G278" s="45"/>
      <c r="H278" s="45"/>
      <c r="I278" s="45"/>
      <c r="J278" s="45"/>
      <c r="K278" s="45"/>
      <c r="L278" s="45"/>
      <c r="M278" s="46"/>
      <c r="N278" s="100"/>
    </row>
    <row r="279" spans="1:16" ht="12" customHeight="1">
      <c r="A279" s="3134"/>
      <c r="B279" s="21" t="s">
        <v>10</v>
      </c>
      <c r="C279" s="551"/>
      <c r="D279" s="552">
        <f>+D280+D283</f>
        <v>51348880</v>
      </c>
      <c r="E279" s="2241">
        <f t="shared" ref="E279" si="140">+E280+E283</f>
        <v>330606</v>
      </c>
      <c r="F279" s="2241">
        <f>+F280+F283</f>
        <v>30648691</v>
      </c>
      <c r="G279" s="2241">
        <f>+G280+G283</f>
        <v>20369583</v>
      </c>
      <c r="H279" s="2241"/>
      <c r="I279" s="2241"/>
      <c r="J279" s="2241"/>
      <c r="K279" s="2241"/>
      <c r="L279" s="2241"/>
      <c r="M279" s="553">
        <f>M280+M283</f>
        <v>51018274</v>
      </c>
      <c r="N279" s="3153" t="s">
        <v>87</v>
      </c>
      <c r="O279" s="563"/>
    </row>
    <row r="280" spans="1:16">
      <c r="A280" s="3134"/>
      <c r="B280" s="189" t="s">
        <v>24</v>
      </c>
      <c r="C280" s="3178" t="s">
        <v>84</v>
      </c>
      <c r="D280" s="555">
        <f>+D281+D282</f>
        <v>7787332</v>
      </c>
      <c r="E280" s="555">
        <f t="shared" ref="E280" si="141">+E281+E282</f>
        <v>49591</v>
      </c>
      <c r="F280" s="555">
        <f>+F281+F282</f>
        <v>4682304</v>
      </c>
      <c r="G280" s="555">
        <f>+G281+G282</f>
        <v>3055437</v>
      </c>
      <c r="H280" s="555"/>
      <c r="I280" s="555"/>
      <c r="J280" s="555"/>
      <c r="K280" s="555"/>
      <c r="L280" s="555"/>
      <c r="M280" s="554">
        <f>M281</f>
        <v>7737741</v>
      </c>
      <c r="N280" s="3153"/>
      <c r="O280" s="3276" t="s">
        <v>489</v>
      </c>
    </row>
    <row r="281" spans="1:16" ht="11.25" customHeight="1">
      <c r="A281" s="3134"/>
      <c r="B281" s="520" t="s">
        <v>12</v>
      </c>
      <c r="C281" s="3147"/>
      <c r="D281" s="280">
        <f>E281+F281+G281+H281+I281+J281+K281+L281</f>
        <v>7787332</v>
      </c>
      <c r="E281" s="321">
        <v>49591</v>
      </c>
      <c r="F281" s="2242">
        <f>5700000+1500000+135000-2630000-22696</f>
        <v>4682304</v>
      </c>
      <c r="G281" s="2242">
        <f>1875000+1435625-240216-14972</f>
        <v>3055437</v>
      </c>
      <c r="H281" s="2242"/>
      <c r="I281" s="2242"/>
      <c r="J281" s="2242"/>
      <c r="K281" s="2242"/>
      <c r="L281" s="2242"/>
      <c r="M281" s="37">
        <f>SUM(F281:L281)</f>
        <v>7737741</v>
      </c>
      <c r="N281" s="3153"/>
      <c r="O281" s="3276"/>
    </row>
    <row r="282" spans="1:16" ht="10.5" hidden="1" customHeight="1">
      <c r="A282" s="3134"/>
      <c r="B282" s="2240" t="s">
        <v>15</v>
      </c>
      <c r="C282" s="3147"/>
      <c r="D282" s="576">
        <f>SUM(E282:I282)</f>
        <v>0</v>
      </c>
      <c r="E282" s="2243">
        <v>0</v>
      </c>
      <c r="F282" s="535"/>
      <c r="G282" s="535"/>
      <c r="H282" s="535"/>
      <c r="I282" s="535"/>
      <c r="J282" s="231"/>
      <c r="K282" s="231"/>
      <c r="L282" s="231"/>
      <c r="M282" s="76"/>
      <c r="N282" s="3153"/>
      <c r="O282" s="3276"/>
    </row>
    <row r="283" spans="1:16">
      <c r="A283" s="3134"/>
      <c r="B283" s="577" t="s">
        <v>18</v>
      </c>
      <c r="C283" s="3147"/>
      <c r="D283" s="2213">
        <f>+D284</f>
        <v>43561548</v>
      </c>
      <c r="E283" s="2214">
        <f t="shared" ref="E283:G283" si="142">+E284</f>
        <v>281015</v>
      </c>
      <c r="F283" s="2214">
        <f t="shared" si="142"/>
        <v>25966387</v>
      </c>
      <c r="G283" s="2214">
        <f t="shared" si="142"/>
        <v>17314146</v>
      </c>
      <c r="H283" s="2214"/>
      <c r="I283" s="2214"/>
      <c r="J283" s="2213"/>
      <c r="K283" s="2213"/>
      <c r="L283" s="2213"/>
      <c r="M283" s="554">
        <f>M284</f>
        <v>43280533</v>
      </c>
      <c r="N283" s="3153"/>
      <c r="O283" s="3276"/>
    </row>
    <row r="284" spans="1:16" ht="12" customHeight="1">
      <c r="A284" s="3134"/>
      <c r="B284" s="520" t="s">
        <v>21</v>
      </c>
      <c r="C284" s="3148"/>
      <c r="D284" s="280">
        <f>E284+F284+G284+H284+I284+J284+K284+L284</f>
        <v>43561548</v>
      </c>
      <c r="E284" s="321">
        <v>281015</v>
      </c>
      <c r="F284" s="2242">
        <f>32300000+8500000+765000-15470000-128613</f>
        <v>25966387</v>
      </c>
      <c r="G284" s="2242">
        <f>10625000+4125213+2648772-84839</f>
        <v>17314146</v>
      </c>
      <c r="H284" s="2210"/>
      <c r="I284" s="2210"/>
      <c r="J284" s="2211"/>
      <c r="K284" s="2211"/>
      <c r="L284" s="2211"/>
      <c r="M284" s="37">
        <f>SUM(F284:L284)</f>
        <v>43280533</v>
      </c>
      <c r="N284" s="3154"/>
      <c r="O284" s="3276"/>
    </row>
    <row r="285" spans="1:16" ht="12" customHeight="1">
      <c r="A285" s="3135"/>
      <c r="B285" s="104" t="s">
        <v>22</v>
      </c>
      <c r="C285" s="101"/>
      <c r="D285" s="116">
        <f t="shared" ref="D285" si="143">+D286+D288</f>
        <v>43561548</v>
      </c>
      <c r="E285" s="263">
        <f>+E286+E288</f>
        <v>0</v>
      </c>
      <c r="F285" s="263">
        <f>+F286+F288</f>
        <v>26247402</v>
      </c>
      <c r="G285" s="263">
        <f>+G286+G288</f>
        <v>17314146</v>
      </c>
      <c r="H285" s="263"/>
      <c r="I285" s="263"/>
      <c r="J285" s="263"/>
      <c r="K285" s="263"/>
      <c r="L285" s="263"/>
      <c r="M285" s="3238" t="s">
        <v>23</v>
      </c>
      <c r="N285" s="3239" t="s">
        <v>104</v>
      </c>
    </row>
    <row r="286" spans="1:16" ht="13.5" hidden="1" customHeight="1">
      <c r="A286" s="3135"/>
      <c r="B286" s="556" t="s">
        <v>24</v>
      </c>
      <c r="C286" s="3240" t="s">
        <v>258</v>
      </c>
      <c r="D286" s="57">
        <f>+D287</f>
        <v>0</v>
      </c>
      <c r="E286" s="57"/>
      <c r="F286" s="57"/>
      <c r="G286" s="57"/>
      <c r="H286" s="57"/>
      <c r="I286" s="57"/>
      <c r="J286" s="57"/>
      <c r="K286" s="57"/>
      <c r="L286" s="57"/>
      <c r="M286" s="3122"/>
      <c r="N286" s="3184"/>
    </row>
    <row r="287" spans="1:16" ht="13.5" hidden="1" customHeight="1">
      <c r="A287" s="3135"/>
      <c r="B287" s="103" t="s">
        <v>15</v>
      </c>
      <c r="C287" s="3173"/>
      <c r="D287" s="576">
        <f>SUM(E287:I287)</f>
        <v>0</v>
      </c>
      <c r="E287" s="2215"/>
      <c r="F287" s="2215"/>
      <c r="G287" s="2215"/>
      <c r="H287" s="2215"/>
      <c r="I287" s="2215"/>
      <c r="J287" s="2215"/>
      <c r="K287" s="2215"/>
      <c r="L287" s="2215"/>
      <c r="M287" s="3122"/>
      <c r="N287" s="3184"/>
    </row>
    <row r="288" spans="1:16" ht="12" customHeight="1">
      <c r="A288" s="3135"/>
      <c r="B288" s="2235" t="s">
        <v>18</v>
      </c>
      <c r="C288" s="3173"/>
      <c r="D288" s="2213">
        <f t="shared" ref="D288:G288" si="144">+D289</f>
        <v>43561548</v>
      </c>
      <c r="E288" s="2214">
        <f t="shared" si="144"/>
        <v>0</v>
      </c>
      <c r="F288" s="2214">
        <f t="shared" si="144"/>
        <v>26247402</v>
      </c>
      <c r="G288" s="2214">
        <f t="shared" si="144"/>
        <v>17314146</v>
      </c>
      <c r="H288" s="2214"/>
      <c r="I288" s="2214"/>
      <c r="J288" s="2214"/>
      <c r="K288" s="2214"/>
      <c r="L288" s="2214"/>
      <c r="M288" s="3122"/>
      <c r="N288" s="3184"/>
    </row>
    <row r="289" spans="1:15" ht="13.5" customHeight="1" thickBot="1">
      <c r="A289" s="3136"/>
      <c r="B289" s="79" t="s">
        <v>21</v>
      </c>
      <c r="C289" s="3174"/>
      <c r="D289" s="280">
        <f>E289+F289+G289+H289+I289+J289+K289+L289</f>
        <v>43561548</v>
      </c>
      <c r="E289" s="321">
        <v>0</v>
      </c>
      <c r="F289" s="80">
        <f>29000000+6000000-8623985-128613</f>
        <v>26247402</v>
      </c>
      <c r="G289" s="80">
        <f>14775000+6625213-4001228-84839</f>
        <v>17314146</v>
      </c>
      <c r="H289" s="80"/>
      <c r="I289" s="80"/>
      <c r="J289" s="80"/>
      <c r="K289" s="80"/>
      <c r="L289" s="80"/>
      <c r="M289" s="3123"/>
      <c r="N289" s="3185"/>
    </row>
    <row r="290" spans="1:15" ht="24.75" customHeight="1">
      <c r="A290" s="3133" t="s">
        <v>91</v>
      </c>
      <c r="B290" s="82" t="s">
        <v>576</v>
      </c>
      <c r="C290" s="64" t="s">
        <v>81</v>
      </c>
      <c r="D290" s="65"/>
      <c r="E290" s="45"/>
      <c r="F290" s="45"/>
      <c r="G290" s="45"/>
      <c r="H290" s="45"/>
      <c r="I290" s="45"/>
      <c r="J290" s="45"/>
      <c r="K290" s="45"/>
      <c r="L290" s="45"/>
      <c r="M290" s="46"/>
      <c r="N290" s="100"/>
      <c r="O290" s="262" t="s">
        <v>570</v>
      </c>
    </row>
    <row r="291" spans="1:15" ht="13.5" customHeight="1">
      <c r="A291" s="3134"/>
      <c r="B291" s="826" t="s">
        <v>10</v>
      </c>
      <c r="C291" s="1105"/>
      <c r="D291" s="1379">
        <f>+D292+D295</f>
        <v>17797996</v>
      </c>
      <c r="E291" s="927">
        <f t="shared" ref="E291" si="145">+E292+E295</f>
        <v>1591</v>
      </c>
      <c r="F291" s="927">
        <f>+F292+F295</f>
        <v>3350000</v>
      </c>
      <c r="G291" s="927">
        <f>+G292+G295</f>
        <v>14446405</v>
      </c>
      <c r="H291" s="927"/>
      <c r="I291" s="927"/>
      <c r="J291" s="927"/>
      <c r="K291" s="927"/>
      <c r="L291" s="927"/>
      <c r="M291" s="1358">
        <f>M292+M295</f>
        <v>17796405</v>
      </c>
      <c r="N291" s="3153" t="s">
        <v>87</v>
      </c>
      <c r="O291" s="563"/>
    </row>
    <row r="292" spans="1:15" ht="13.5" customHeight="1">
      <c r="A292" s="3134"/>
      <c r="B292" s="783" t="s">
        <v>24</v>
      </c>
      <c r="C292" s="3106" t="s">
        <v>84</v>
      </c>
      <c r="D292" s="1042">
        <f>+D293+D294</f>
        <v>2867299</v>
      </c>
      <c r="E292" s="1042">
        <f t="shared" ref="E292" si="146">+E293+E294</f>
        <v>239</v>
      </c>
      <c r="F292" s="1042">
        <f>+F293+F294</f>
        <v>528000</v>
      </c>
      <c r="G292" s="1042">
        <f>+G293+G294</f>
        <v>2339060</v>
      </c>
      <c r="H292" s="1042"/>
      <c r="I292" s="1042"/>
      <c r="J292" s="1042"/>
      <c r="K292" s="1042"/>
      <c r="L292" s="1042"/>
      <c r="M292" s="804">
        <f>M293</f>
        <v>2867060</v>
      </c>
      <c r="N292" s="3153"/>
      <c r="O292" s="3276"/>
    </row>
    <row r="293" spans="1:15">
      <c r="A293" s="3134"/>
      <c r="B293" s="1390" t="s">
        <v>12</v>
      </c>
      <c r="C293" s="3147"/>
      <c r="D293" s="280">
        <f>E293+F293+G293+H293+I293+J293+K293+L293</f>
        <v>2867299</v>
      </c>
      <c r="E293" s="321">
        <v>239</v>
      </c>
      <c r="F293" s="1369">
        <f>2821000+15000-1954801-48563-304636</f>
        <v>528000</v>
      </c>
      <c r="G293" s="1369">
        <f>2016162+18262+304636</f>
        <v>2339060</v>
      </c>
      <c r="H293" s="1369"/>
      <c r="I293" s="1369"/>
      <c r="J293" s="1369"/>
      <c r="K293" s="1369"/>
      <c r="L293" s="1369"/>
      <c r="M293" s="1381">
        <f>SUM(F293:L293)</f>
        <v>2867060</v>
      </c>
      <c r="N293" s="3153"/>
      <c r="O293" s="3276"/>
    </row>
    <row r="294" spans="1:15" ht="10.5" hidden="1" customHeight="1">
      <c r="A294" s="3134"/>
      <c r="B294" s="2240" t="s">
        <v>15</v>
      </c>
      <c r="C294" s="3147"/>
      <c r="D294" s="1345">
        <f>SUM(E294:I294)</f>
        <v>0</v>
      </c>
      <c r="E294" s="3030">
        <v>0</v>
      </c>
      <c r="F294" s="1391"/>
      <c r="G294" s="1391"/>
      <c r="H294" s="1391"/>
      <c r="I294" s="1391"/>
      <c r="J294" s="231"/>
      <c r="K294" s="231"/>
      <c r="L294" s="231"/>
      <c r="M294" s="76"/>
      <c r="N294" s="3153"/>
      <c r="O294" s="3276"/>
    </row>
    <row r="295" spans="1:15" ht="12.75" customHeight="1">
      <c r="A295" s="3134"/>
      <c r="B295" s="1386" t="s">
        <v>18</v>
      </c>
      <c r="C295" s="3147"/>
      <c r="D295" s="808">
        <f>+D296</f>
        <v>14930697</v>
      </c>
      <c r="E295" s="1364">
        <f t="shared" ref="E295:G295" si="147">+E296</f>
        <v>1352</v>
      </c>
      <c r="F295" s="1364">
        <f t="shared" si="147"/>
        <v>2822000</v>
      </c>
      <c r="G295" s="1364">
        <f t="shared" si="147"/>
        <v>12107345</v>
      </c>
      <c r="H295" s="1364"/>
      <c r="I295" s="1364"/>
      <c r="J295" s="808"/>
      <c r="K295" s="808"/>
      <c r="L295" s="808"/>
      <c r="M295" s="804">
        <f>M296</f>
        <v>14929345</v>
      </c>
      <c r="N295" s="3153"/>
      <c r="O295" s="3276"/>
    </row>
    <row r="296" spans="1:15">
      <c r="A296" s="3134"/>
      <c r="B296" s="1390" t="s">
        <v>21</v>
      </c>
      <c r="C296" s="3148"/>
      <c r="D296" s="3027">
        <f>E296+F296+G296+H296+I296+J296+K296+L296</f>
        <v>14930697</v>
      </c>
      <c r="E296" s="321">
        <v>1352</v>
      </c>
      <c r="F296" s="1369">
        <f>15079000+85000-11487872+534253-1388381</f>
        <v>2822000</v>
      </c>
      <c r="G296" s="1369">
        <f>11424920-705956+1388381</f>
        <v>12107345</v>
      </c>
      <c r="H296" s="999"/>
      <c r="I296" s="999"/>
      <c r="J296" s="998"/>
      <c r="K296" s="998"/>
      <c r="L296" s="998"/>
      <c r="M296" s="1381">
        <f>SUM(F296:L296)</f>
        <v>14929345</v>
      </c>
      <c r="N296" s="3154"/>
      <c r="O296" s="3276"/>
    </row>
    <row r="297" spans="1:15" ht="13.5" customHeight="1">
      <c r="A297" s="3135"/>
      <c r="B297" s="104" t="s">
        <v>22</v>
      </c>
      <c r="C297" s="101"/>
      <c r="D297" s="116">
        <f t="shared" ref="D297" si="148">+D298+D300</f>
        <v>14930697</v>
      </c>
      <c r="E297" s="263">
        <f>+E298+E300</f>
        <v>0</v>
      </c>
      <c r="F297" s="263">
        <f>+F298+F300</f>
        <v>2823352</v>
      </c>
      <c r="G297" s="263">
        <f>+G298+G300</f>
        <v>12107345</v>
      </c>
      <c r="H297" s="263"/>
      <c r="I297" s="263"/>
      <c r="J297" s="263"/>
      <c r="K297" s="263"/>
      <c r="L297" s="263"/>
      <c r="M297" s="3187" t="s">
        <v>23</v>
      </c>
      <c r="N297" s="3183" t="s">
        <v>104</v>
      </c>
    </row>
    <row r="298" spans="1:15" ht="13.5" hidden="1" customHeight="1">
      <c r="A298" s="3135"/>
      <c r="B298" s="1388" t="s">
        <v>24</v>
      </c>
      <c r="C298" s="3172" t="s">
        <v>258</v>
      </c>
      <c r="D298" s="57">
        <f>+D299</f>
        <v>0</v>
      </c>
      <c r="E298" s="57"/>
      <c r="F298" s="57"/>
      <c r="G298" s="57"/>
      <c r="H298" s="57"/>
      <c r="I298" s="57"/>
      <c r="J298" s="57"/>
      <c r="K298" s="57"/>
      <c r="L298" s="57"/>
      <c r="M298" s="3122"/>
      <c r="N298" s="3184"/>
    </row>
    <row r="299" spans="1:15" ht="13.5" hidden="1" customHeight="1">
      <c r="A299" s="3135"/>
      <c r="B299" s="103" t="s">
        <v>15</v>
      </c>
      <c r="C299" s="3173"/>
      <c r="D299" s="1345">
        <f>SUM(E299:I299)</f>
        <v>0</v>
      </c>
      <c r="E299" s="1362"/>
      <c r="F299" s="1362"/>
      <c r="G299" s="1362"/>
      <c r="H299" s="1362"/>
      <c r="I299" s="1362"/>
      <c r="J299" s="1362"/>
      <c r="K299" s="1362"/>
      <c r="L299" s="1362"/>
      <c r="M299" s="3122"/>
      <c r="N299" s="3184"/>
    </row>
    <row r="300" spans="1:15" ht="12" customHeight="1">
      <c r="A300" s="3135"/>
      <c r="B300" s="3021" t="s">
        <v>18</v>
      </c>
      <c r="C300" s="3173"/>
      <c r="D300" s="808">
        <f t="shared" ref="D300:G300" si="149">+D301</f>
        <v>14930697</v>
      </c>
      <c r="E300" s="1364">
        <f t="shared" si="149"/>
        <v>0</v>
      </c>
      <c r="F300" s="1364">
        <f t="shared" si="149"/>
        <v>2823352</v>
      </c>
      <c r="G300" s="1364">
        <f t="shared" si="149"/>
        <v>12107345</v>
      </c>
      <c r="H300" s="1364"/>
      <c r="I300" s="1364"/>
      <c r="J300" s="1364"/>
      <c r="K300" s="1364"/>
      <c r="L300" s="1364"/>
      <c r="M300" s="3122"/>
      <c r="N300" s="3184"/>
    </row>
    <row r="301" spans="1:15" ht="13.5" customHeight="1" thickBot="1">
      <c r="A301" s="3136"/>
      <c r="B301" s="1389" t="s">
        <v>21</v>
      </c>
      <c r="C301" s="3174"/>
      <c r="D301" s="280">
        <f>E301+F301+G301+H301+I301+J301+K301+L301</f>
        <v>14930697</v>
      </c>
      <c r="E301" s="321">
        <v>0</v>
      </c>
      <c r="F301" s="620">
        <f>14164000-10486520+534253-1388381</f>
        <v>2823352</v>
      </c>
      <c r="G301" s="620">
        <f>1000000+10424920-705956+1388381</f>
        <v>12107345</v>
      </c>
      <c r="H301" s="620"/>
      <c r="I301" s="620"/>
      <c r="J301" s="620"/>
      <c r="K301" s="620"/>
      <c r="L301" s="620"/>
      <c r="M301" s="3123"/>
      <c r="N301" s="3185"/>
    </row>
    <row r="302" spans="1:15" ht="24">
      <c r="A302" s="3133" t="s">
        <v>92</v>
      </c>
      <c r="B302" s="82" t="s">
        <v>577</v>
      </c>
      <c r="C302" s="64" t="s">
        <v>81</v>
      </c>
      <c r="D302" s="65"/>
      <c r="E302" s="45"/>
      <c r="F302" s="45"/>
      <c r="G302" s="45"/>
      <c r="H302" s="45"/>
      <c r="I302" s="45"/>
      <c r="J302" s="45"/>
      <c r="K302" s="45"/>
      <c r="L302" s="45"/>
      <c r="M302" s="46"/>
      <c r="N302" s="100"/>
      <c r="O302" s="262" t="s">
        <v>344</v>
      </c>
    </row>
    <row r="303" spans="1:15">
      <c r="A303" s="3134"/>
      <c r="B303" s="21" t="s">
        <v>10</v>
      </c>
      <c r="C303" s="22"/>
      <c r="D303" s="69">
        <f>+D304+D307</f>
        <v>52780964</v>
      </c>
      <c r="E303" s="70">
        <f>+E304+E307</f>
        <v>0</v>
      </c>
      <c r="F303" s="70">
        <f>+F304+F307</f>
        <v>18055000</v>
      </c>
      <c r="G303" s="70">
        <f>+G304+G307</f>
        <v>34725964</v>
      </c>
      <c r="H303" s="70"/>
      <c r="I303" s="70"/>
      <c r="J303" s="70"/>
      <c r="K303" s="70"/>
      <c r="L303" s="70"/>
      <c r="M303" s="71">
        <f>M304+M307</f>
        <v>52780964</v>
      </c>
      <c r="N303" s="3153" t="s">
        <v>87</v>
      </c>
      <c r="O303" s="563"/>
    </row>
    <row r="304" spans="1:15" ht="13.5" customHeight="1">
      <c r="A304" s="3134"/>
      <c r="B304" s="189" t="s">
        <v>24</v>
      </c>
      <c r="C304" s="3091" t="s">
        <v>84</v>
      </c>
      <c r="D304" s="72">
        <f>+D305+D306</f>
        <v>10467145</v>
      </c>
      <c r="E304" s="72">
        <f>+E305+E306</f>
        <v>0</v>
      </c>
      <c r="F304" s="72">
        <f>+F305+F306</f>
        <v>5258250</v>
      </c>
      <c r="G304" s="72">
        <f>+G305+G306</f>
        <v>5208895</v>
      </c>
      <c r="H304" s="72"/>
      <c r="I304" s="72"/>
      <c r="J304" s="72"/>
      <c r="K304" s="72"/>
      <c r="L304" s="72"/>
      <c r="M304" s="88">
        <f>M305</f>
        <v>10467145</v>
      </c>
      <c r="N304" s="3153"/>
      <c r="O304" s="563"/>
    </row>
    <row r="305" spans="1:15">
      <c r="A305" s="3134"/>
      <c r="B305" s="520" t="s">
        <v>12</v>
      </c>
      <c r="C305" s="3147"/>
      <c r="D305" s="280">
        <f>E305+F305+G305+H305+I305+J305+K305+L305</f>
        <v>10467145</v>
      </c>
      <c r="E305" s="321">
        <v>0</v>
      </c>
      <c r="F305" s="321">
        <f>4500000-1204062+1962312</f>
        <v>5258250</v>
      </c>
      <c r="G305" s="321">
        <f>4215000+1785000+1171207-1962312</f>
        <v>5208895</v>
      </c>
      <c r="H305" s="321"/>
      <c r="I305" s="321"/>
      <c r="J305" s="321"/>
      <c r="K305" s="321"/>
      <c r="L305" s="321"/>
      <c r="M305" s="37">
        <f>SUM(F305:L305)</f>
        <v>10467145</v>
      </c>
      <c r="N305" s="3153"/>
      <c r="O305" s="563"/>
    </row>
    <row r="306" spans="1:15" ht="10.5" hidden="1" customHeight="1">
      <c r="A306" s="3134"/>
      <c r="B306" s="2240" t="s">
        <v>15</v>
      </c>
      <c r="C306" s="3147"/>
      <c r="D306" s="280">
        <f>SUM(E306:I306)</f>
        <v>0</v>
      </c>
      <c r="E306" s="3031">
        <v>0</v>
      </c>
      <c r="F306" s="50"/>
      <c r="G306" s="50"/>
      <c r="H306" s="50"/>
      <c r="I306" s="50"/>
      <c r="J306" s="231"/>
      <c r="K306" s="231"/>
      <c r="L306" s="231"/>
      <c r="M306" s="76"/>
      <c r="N306" s="3153"/>
    </row>
    <row r="307" spans="1:15" ht="12.75" customHeight="1">
      <c r="A307" s="3134"/>
      <c r="B307" s="577" t="s">
        <v>18</v>
      </c>
      <c r="C307" s="3147"/>
      <c r="D307" s="53">
        <f>+D308</f>
        <v>42313819</v>
      </c>
      <c r="E307" s="54">
        <f t="shared" ref="E307:G307" si="150">+E308</f>
        <v>0</v>
      </c>
      <c r="F307" s="54">
        <f t="shared" si="150"/>
        <v>12796750</v>
      </c>
      <c r="G307" s="54">
        <f t="shared" si="150"/>
        <v>29517069</v>
      </c>
      <c r="H307" s="54"/>
      <c r="I307" s="54"/>
      <c r="J307" s="53"/>
      <c r="K307" s="53"/>
      <c r="L307" s="53"/>
      <c r="M307" s="88">
        <f>M308</f>
        <v>42313819</v>
      </c>
      <c r="N307" s="3153"/>
    </row>
    <row r="308" spans="1:15">
      <c r="A308" s="3134"/>
      <c r="B308" s="520" t="s">
        <v>21</v>
      </c>
      <c r="C308" s="3148"/>
      <c r="D308" s="3027">
        <f>E308+F308+G308+H308+I308+J308+K308+L308</f>
        <v>42313819</v>
      </c>
      <c r="E308" s="321">
        <v>0</v>
      </c>
      <c r="F308" s="321">
        <f>38250000+85000-21335000+1110315-5313565</f>
        <v>12796750</v>
      </c>
      <c r="G308" s="321">
        <f>13685000+11815000-1296496+5313565</f>
        <v>29517069</v>
      </c>
      <c r="H308" s="51"/>
      <c r="I308" s="51"/>
      <c r="J308" s="52"/>
      <c r="K308" s="52"/>
      <c r="L308" s="52"/>
      <c r="M308" s="37">
        <f>SUM(F308:L308)</f>
        <v>42313819</v>
      </c>
      <c r="N308" s="3154"/>
    </row>
    <row r="309" spans="1:15" ht="11.25" customHeight="1">
      <c r="A309" s="3135"/>
      <c r="B309" s="104" t="s">
        <v>22</v>
      </c>
      <c r="C309" s="101"/>
      <c r="D309" s="116">
        <f t="shared" ref="D309:E309" si="151">+D310+D312</f>
        <v>42313819</v>
      </c>
      <c r="E309" s="263">
        <f t="shared" si="151"/>
        <v>0</v>
      </c>
      <c r="F309" s="263">
        <f>+F310+F312</f>
        <v>0</v>
      </c>
      <c r="G309" s="263">
        <f>+G310+G312</f>
        <v>42313819</v>
      </c>
      <c r="H309" s="263"/>
      <c r="I309" s="263"/>
      <c r="J309" s="263"/>
      <c r="K309" s="263"/>
      <c r="L309" s="263"/>
      <c r="M309" s="3121" t="s">
        <v>23</v>
      </c>
      <c r="N309" s="3235" t="s">
        <v>104</v>
      </c>
    </row>
    <row r="310" spans="1:15" ht="13.5" hidden="1" customHeight="1">
      <c r="A310" s="3135"/>
      <c r="B310" s="797" t="s">
        <v>24</v>
      </c>
      <c r="C310" s="3236" t="s">
        <v>258</v>
      </c>
      <c r="D310" s="57">
        <f>+D311</f>
        <v>0</v>
      </c>
      <c r="E310" s="301">
        <v>0</v>
      </c>
      <c r="F310" s="57"/>
      <c r="G310" s="57"/>
      <c r="H310" s="57"/>
      <c r="I310" s="57"/>
      <c r="J310" s="57"/>
      <c r="K310" s="57"/>
      <c r="L310" s="57"/>
      <c r="M310" s="3122"/>
      <c r="N310" s="3184"/>
    </row>
    <row r="311" spans="1:15" ht="13.5" hidden="1" customHeight="1">
      <c r="A311" s="3135"/>
      <c r="B311" s="103" t="s">
        <v>15</v>
      </c>
      <c r="C311" s="3173"/>
      <c r="D311" s="280">
        <f>SUM(E311:I311)</f>
        <v>0</v>
      </c>
      <c r="E311" s="3032">
        <v>0</v>
      </c>
      <c r="F311" s="59"/>
      <c r="G311" s="59"/>
      <c r="H311" s="59"/>
      <c r="I311" s="59"/>
      <c r="J311" s="59"/>
      <c r="K311" s="59"/>
      <c r="L311" s="59"/>
      <c r="M311" s="3122"/>
      <c r="N311" s="3184"/>
    </row>
    <row r="312" spans="1:15" ht="12" customHeight="1">
      <c r="A312" s="3135"/>
      <c r="B312" s="1126" t="s">
        <v>18</v>
      </c>
      <c r="C312" s="3173"/>
      <c r="D312" s="53">
        <f t="shared" ref="D312:G312" si="152">+D313</f>
        <v>42313819</v>
      </c>
      <c r="E312" s="54">
        <f t="shared" si="152"/>
        <v>0</v>
      </c>
      <c r="F312" s="54">
        <f t="shared" si="152"/>
        <v>0</v>
      </c>
      <c r="G312" s="54">
        <f t="shared" si="152"/>
        <v>42313819</v>
      </c>
      <c r="H312" s="54"/>
      <c r="I312" s="54"/>
      <c r="J312" s="54"/>
      <c r="K312" s="54"/>
      <c r="L312" s="54"/>
      <c r="M312" s="3122"/>
      <c r="N312" s="3184"/>
    </row>
    <row r="313" spans="1:15" ht="13.5" customHeight="1" thickBot="1">
      <c r="A313" s="3136"/>
      <c r="B313" s="79" t="s">
        <v>21</v>
      </c>
      <c r="C313" s="3174"/>
      <c r="D313" s="280">
        <f>E313+F313+G313+H313+I313+J313+K313+L313</f>
        <v>42313819</v>
      </c>
      <c r="E313" s="321">
        <v>0</v>
      </c>
      <c r="F313" s="80">
        <f>38335000-21335000+1110315-18110315</f>
        <v>0</v>
      </c>
      <c r="G313" s="80">
        <f>13685000+11815000-1296496+18110315</f>
        <v>42313819</v>
      </c>
      <c r="H313" s="80"/>
      <c r="I313" s="80"/>
      <c r="J313" s="80"/>
      <c r="K313" s="80"/>
      <c r="L313" s="80"/>
      <c r="M313" s="3123"/>
      <c r="N313" s="3185"/>
    </row>
    <row r="314" spans="1:15" ht="24.75" customHeight="1">
      <c r="A314" s="3133" t="s">
        <v>93</v>
      </c>
      <c r="B314" s="82" t="s">
        <v>578</v>
      </c>
      <c r="C314" s="64" t="s">
        <v>81</v>
      </c>
      <c r="D314" s="65"/>
      <c r="E314" s="45"/>
      <c r="F314" s="45"/>
      <c r="G314" s="45"/>
      <c r="H314" s="45"/>
      <c r="I314" s="45"/>
      <c r="J314" s="45"/>
      <c r="K314" s="45"/>
      <c r="L314" s="45"/>
      <c r="M314" s="46"/>
      <c r="N314" s="100"/>
    </row>
    <row r="315" spans="1:15">
      <c r="A315" s="3134"/>
      <c r="B315" s="826" t="s">
        <v>10</v>
      </c>
      <c r="C315" s="1105"/>
      <c r="D315" s="1379">
        <f>+D316+D319</f>
        <v>3411977</v>
      </c>
      <c r="E315" s="927">
        <f t="shared" ref="E315" si="153">+E316+E319</f>
        <v>186175</v>
      </c>
      <c r="F315" s="927">
        <f>+F316+F319</f>
        <v>3225802</v>
      </c>
      <c r="G315" s="927">
        <f>+G316+G319</f>
        <v>0</v>
      </c>
      <c r="H315" s="927"/>
      <c r="I315" s="927"/>
      <c r="J315" s="927"/>
      <c r="K315" s="927"/>
      <c r="L315" s="927"/>
      <c r="M315" s="1358">
        <f>M316+M319</f>
        <v>3225802</v>
      </c>
      <c r="N315" s="3153" t="s">
        <v>87</v>
      </c>
      <c r="O315" s="563"/>
    </row>
    <row r="316" spans="1:15" ht="13.5" customHeight="1">
      <c r="A316" s="3134"/>
      <c r="B316" s="783" t="s">
        <v>24</v>
      </c>
      <c r="C316" s="3106" t="s">
        <v>84</v>
      </c>
      <c r="D316" s="1042">
        <f>+D317+D318</f>
        <v>745310</v>
      </c>
      <c r="E316" s="1042">
        <f t="shared" ref="E316" si="154">+E317+E318</f>
        <v>133940</v>
      </c>
      <c r="F316" s="1042">
        <f>+F317+F318</f>
        <v>611370</v>
      </c>
      <c r="G316" s="1042">
        <f>+G317+G318</f>
        <v>0</v>
      </c>
      <c r="H316" s="1042"/>
      <c r="I316" s="1042"/>
      <c r="J316" s="1042"/>
      <c r="K316" s="1042"/>
      <c r="L316" s="1042"/>
      <c r="M316" s="804">
        <f>M317</f>
        <v>611370</v>
      </c>
      <c r="N316" s="3153"/>
      <c r="O316" s="563"/>
    </row>
    <row r="317" spans="1:15" ht="11.25" customHeight="1">
      <c r="A317" s="3134"/>
      <c r="B317" s="1390" t="s">
        <v>12</v>
      </c>
      <c r="C317" s="3147"/>
      <c r="D317" s="280">
        <f>E317+F317+G317+H317+I317+J317+K317+L317</f>
        <v>745310</v>
      </c>
      <c r="E317" s="321">
        <v>133940</v>
      </c>
      <c r="F317" s="1369">
        <f>630000+30000-39218-9412</f>
        <v>611370</v>
      </c>
      <c r="G317" s="1369">
        <v>0</v>
      </c>
      <c r="H317" s="1369"/>
      <c r="I317" s="1369"/>
      <c r="J317" s="1369"/>
      <c r="K317" s="1369"/>
      <c r="L317" s="1369"/>
      <c r="M317" s="1381">
        <f>SUM(F317:L317)</f>
        <v>611370</v>
      </c>
      <c r="N317" s="3153"/>
      <c r="O317" s="563"/>
    </row>
    <row r="318" spans="1:15" ht="10.5" hidden="1" customHeight="1">
      <c r="A318" s="3134"/>
      <c r="B318" s="2240" t="s">
        <v>15</v>
      </c>
      <c r="C318" s="3147"/>
      <c r="D318" s="1345">
        <f>SUM(E318:I318)</f>
        <v>0</v>
      </c>
      <c r="E318" s="3030">
        <v>0</v>
      </c>
      <c r="F318" s="1391"/>
      <c r="G318" s="1391"/>
      <c r="H318" s="1391"/>
      <c r="I318" s="1391"/>
      <c r="J318" s="231"/>
      <c r="K318" s="231"/>
      <c r="L318" s="231"/>
      <c r="M318" s="76"/>
      <c r="N318" s="3153"/>
    </row>
    <row r="319" spans="1:15" ht="12.75" customHeight="1">
      <c r="A319" s="3134"/>
      <c r="B319" s="1386" t="s">
        <v>18</v>
      </c>
      <c r="C319" s="3147"/>
      <c r="D319" s="808">
        <f>+D320</f>
        <v>2666667</v>
      </c>
      <c r="E319" s="1364">
        <f t="shared" ref="E319:G319" si="155">+E320</f>
        <v>52235</v>
      </c>
      <c r="F319" s="1364">
        <f t="shared" si="155"/>
        <v>2614432</v>
      </c>
      <c r="G319" s="1364">
        <f t="shared" si="155"/>
        <v>0</v>
      </c>
      <c r="H319" s="1364"/>
      <c r="I319" s="1364"/>
      <c r="J319" s="808"/>
      <c r="K319" s="808"/>
      <c r="L319" s="808"/>
      <c r="M319" s="804">
        <f>M320</f>
        <v>2614432</v>
      </c>
      <c r="N319" s="3153"/>
    </row>
    <row r="320" spans="1:15" ht="12" customHeight="1">
      <c r="A320" s="3134"/>
      <c r="B320" s="1390" t="s">
        <v>21</v>
      </c>
      <c r="C320" s="3148"/>
      <c r="D320" s="3027">
        <f>E320+F320+G320+H320+I320+J320+K320+L320</f>
        <v>2666667</v>
      </c>
      <c r="E320" s="321">
        <v>52235</v>
      </c>
      <c r="F320" s="1369">
        <f>3570000+170000-1072235-53333</f>
        <v>2614432</v>
      </c>
      <c r="G320" s="1369">
        <v>0</v>
      </c>
      <c r="H320" s="999"/>
      <c r="I320" s="999"/>
      <c r="J320" s="998"/>
      <c r="K320" s="998"/>
      <c r="L320" s="998"/>
      <c r="M320" s="1381">
        <f>SUM(F320:L320)</f>
        <v>2614432</v>
      </c>
      <c r="N320" s="3154"/>
    </row>
    <row r="321" spans="1:16">
      <c r="A321" s="3135"/>
      <c r="B321" s="104" t="s">
        <v>22</v>
      </c>
      <c r="C321" s="101"/>
      <c r="D321" s="116">
        <f t="shared" ref="D321" si="156">+D322+D324</f>
        <v>2666667</v>
      </c>
      <c r="E321" s="263">
        <f t="shared" ref="E321" si="157">+E322+E324</f>
        <v>0</v>
      </c>
      <c r="F321" s="263">
        <f>+F322+F324</f>
        <v>1948545</v>
      </c>
      <c r="G321" s="263">
        <f>+G322+G324</f>
        <v>718122</v>
      </c>
      <c r="H321" s="263"/>
      <c r="I321" s="263"/>
      <c r="J321" s="263"/>
      <c r="K321" s="263"/>
      <c r="L321" s="263"/>
      <c r="M321" s="3187" t="s">
        <v>23</v>
      </c>
      <c r="N321" s="3183" t="s">
        <v>104</v>
      </c>
    </row>
    <row r="322" spans="1:16" hidden="1">
      <c r="A322" s="3135"/>
      <c r="B322" s="1388" t="s">
        <v>24</v>
      </c>
      <c r="C322" s="3172" t="s">
        <v>258</v>
      </c>
      <c r="D322" s="57">
        <f>+D323</f>
        <v>0</v>
      </c>
      <c r="E322" s="57">
        <f t="shared" ref="E322" si="158">+E323</f>
        <v>0</v>
      </c>
      <c r="F322" s="57"/>
      <c r="G322" s="57"/>
      <c r="H322" s="57"/>
      <c r="I322" s="57"/>
      <c r="J322" s="57"/>
      <c r="K322" s="57"/>
      <c r="L322" s="57"/>
      <c r="M322" s="3122"/>
      <c r="N322" s="3184"/>
    </row>
    <row r="323" spans="1:16" hidden="1">
      <c r="A323" s="3135"/>
      <c r="B323" s="103" t="s">
        <v>15</v>
      </c>
      <c r="C323" s="3173"/>
      <c r="D323" s="1345">
        <f>SUM(E323:I323)</f>
        <v>0</v>
      </c>
      <c r="E323" s="1362">
        <v>0</v>
      </c>
      <c r="F323" s="1362"/>
      <c r="G323" s="1362"/>
      <c r="H323" s="1362"/>
      <c r="I323" s="1362"/>
      <c r="J323" s="1362"/>
      <c r="K323" s="1362"/>
      <c r="L323" s="1362"/>
      <c r="M323" s="3122"/>
      <c r="N323" s="3184"/>
    </row>
    <row r="324" spans="1:16" ht="12" customHeight="1">
      <c r="A324" s="3135"/>
      <c r="B324" s="3021" t="s">
        <v>18</v>
      </c>
      <c r="C324" s="3173"/>
      <c r="D324" s="808">
        <f t="shared" ref="D324:G324" si="159">+D325</f>
        <v>2666667</v>
      </c>
      <c r="E324" s="1364">
        <f t="shared" si="159"/>
        <v>0</v>
      </c>
      <c r="F324" s="1364">
        <f t="shared" si="159"/>
        <v>1948545</v>
      </c>
      <c r="G324" s="1364">
        <f t="shared" si="159"/>
        <v>718122</v>
      </c>
      <c r="H324" s="1364"/>
      <c r="I324" s="1364"/>
      <c r="J324" s="1364"/>
      <c r="K324" s="1364"/>
      <c r="L324" s="1364"/>
      <c r="M324" s="3122"/>
      <c r="N324" s="3184"/>
    </row>
    <row r="325" spans="1:16" ht="13.5" thickBot="1">
      <c r="A325" s="3136"/>
      <c r="B325" s="1389" t="s">
        <v>21</v>
      </c>
      <c r="C325" s="3174"/>
      <c r="D325" s="280">
        <f>E325+F325+G325+H325+I325+J325+K325+L325</f>
        <v>2666667</v>
      </c>
      <c r="E325" s="321">
        <v>0</v>
      </c>
      <c r="F325" s="620">
        <f>3500000-780000-53333-718122</f>
        <v>1948545</v>
      </c>
      <c r="G325" s="620">
        <v>718122</v>
      </c>
      <c r="H325" s="620"/>
      <c r="I325" s="620"/>
      <c r="J325" s="620"/>
      <c r="K325" s="620"/>
      <c r="L325" s="620"/>
      <c r="M325" s="3123"/>
      <c r="N325" s="3185"/>
    </row>
    <row r="326" spans="1:16" ht="24.75" customHeight="1">
      <c r="A326" s="3133" t="s">
        <v>94</v>
      </c>
      <c r="B326" s="506" t="s">
        <v>579</v>
      </c>
      <c r="C326" s="64" t="s">
        <v>81</v>
      </c>
      <c r="D326" s="1187"/>
      <c r="E326" s="45"/>
      <c r="F326" s="45"/>
      <c r="G326" s="45"/>
      <c r="H326" s="45"/>
      <c r="I326" s="45"/>
      <c r="J326" s="45"/>
      <c r="K326" s="45"/>
      <c r="L326" s="45"/>
      <c r="M326" s="46"/>
      <c r="N326" s="3143" t="s">
        <v>87</v>
      </c>
    </row>
    <row r="327" spans="1:16">
      <c r="A327" s="3134"/>
      <c r="B327" s="626" t="s">
        <v>10</v>
      </c>
      <c r="C327" s="3033"/>
      <c r="D327" s="3034">
        <f>+D328+D331</f>
        <v>30163614</v>
      </c>
      <c r="E327" s="3034">
        <f t="shared" ref="E327" si="160">+E328+E331</f>
        <v>598614</v>
      </c>
      <c r="F327" s="3034">
        <f t="shared" ref="F327:G327" si="161">+F328+F331</f>
        <v>5520000</v>
      </c>
      <c r="G327" s="3034">
        <f t="shared" si="161"/>
        <v>24045000</v>
      </c>
      <c r="H327" s="3034"/>
      <c r="I327" s="3034"/>
      <c r="J327" s="3034"/>
      <c r="K327" s="3034"/>
      <c r="L327" s="3034"/>
      <c r="M327" s="2867">
        <f>+M328+M331</f>
        <v>29565000</v>
      </c>
      <c r="N327" s="3153"/>
      <c r="O327" s="262" t="s">
        <v>506</v>
      </c>
    </row>
    <row r="328" spans="1:16" ht="13.5" customHeight="1">
      <c r="A328" s="3134"/>
      <c r="B328" s="832" t="s">
        <v>24</v>
      </c>
      <c r="C328" s="3192" t="s">
        <v>84</v>
      </c>
      <c r="D328" s="3035">
        <f>+D329+D330</f>
        <v>10288614</v>
      </c>
      <c r="E328" s="3035">
        <f t="shared" ref="E328" si="162">+E329</f>
        <v>598614</v>
      </c>
      <c r="F328" s="3035">
        <f>+F329+F330</f>
        <v>3648179</v>
      </c>
      <c r="G328" s="3035">
        <f>+G329+G330</f>
        <v>6041821</v>
      </c>
      <c r="H328" s="3035"/>
      <c r="I328" s="3035"/>
      <c r="J328" s="3035"/>
      <c r="K328" s="3035"/>
      <c r="L328" s="3035"/>
      <c r="M328" s="3036">
        <f>+M329+M330</f>
        <v>9690000</v>
      </c>
      <c r="N328" s="3153"/>
      <c r="O328" s="563"/>
    </row>
    <row r="329" spans="1:16">
      <c r="A329" s="3134"/>
      <c r="B329" s="1032" t="s">
        <v>12</v>
      </c>
      <c r="C329" s="3156"/>
      <c r="D329" s="2819">
        <f>E329+F329+G329+H329+I329+J329+K329+L329</f>
        <v>618614</v>
      </c>
      <c r="E329" s="2903">
        <v>598614</v>
      </c>
      <c r="F329" s="2967">
        <f>2960680-2945680+5000</f>
        <v>20000</v>
      </c>
      <c r="G329" s="2967"/>
      <c r="H329" s="2967"/>
      <c r="I329" s="2967"/>
      <c r="J329" s="2967"/>
      <c r="K329" s="2967"/>
      <c r="L329" s="2967"/>
      <c r="M329" s="2968">
        <f>SUM(F329:L329)</f>
        <v>20000</v>
      </c>
      <c r="N329" s="3153"/>
    </row>
    <row r="330" spans="1:16">
      <c r="A330" s="3134"/>
      <c r="B330" s="1408" t="s">
        <v>15</v>
      </c>
      <c r="C330" s="3156"/>
      <c r="D330" s="2819">
        <f>E330+F330+G330+H330+I330+J330+K330+L330</f>
        <v>9670000</v>
      </c>
      <c r="E330" s="2903">
        <v>0</v>
      </c>
      <c r="F330" s="1409">
        <f>4895843-1267664</f>
        <v>3628179</v>
      </c>
      <c r="G330" s="1409">
        <f>4774157+1267664</f>
        <v>6041821</v>
      </c>
      <c r="H330" s="1409"/>
      <c r="I330" s="1409"/>
      <c r="J330" s="1409"/>
      <c r="K330" s="1409"/>
      <c r="L330" s="1409"/>
      <c r="M330" s="2968">
        <f>SUM(F330:L330)</f>
        <v>9670000</v>
      </c>
      <c r="N330" s="3153"/>
    </row>
    <row r="331" spans="1:16" ht="13.5" customHeight="1">
      <c r="A331" s="3134"/>
      <c r="B331" s="1386" t="s">
        <v>18</v>
      </c>
      <c r="C331" s="3156"/>
      <c r="D331" s="2937">
        <f>+D332</f>
        <v>19875000</v>
      </c>
      <c r="E331" s="2937">
        <f t="shared" ref="E331:G331" si="163">+E332</f>
        <v>0</v>
      </c>
      <c r="F331" s="2937">
        <f t="shared" si="163"/>
        <v>1871821</v>
      </c>
      <c r="G331" s="2937">
        <f t="shared" si="163"/>
        <v>18003179</v>
      </c>
      <c r="H331" s="2937"/>
      <c r="I331" s="2937"/>
      <c r="J331" s="2937"/>
      <c r="K331" s="2937"/>
      <c r="L331" s="2937"/>
      <c r="M331" s="2938">
        <f>+M332</f>
        <v>19875000</v>
      </c>
      <c r="N331" s="3153"/>
    </row>
    <row r="332" spans="1:16">
      <c r="A332" s="3134"/>
      <c r="B332" s="2969" t="s">
        <v>21</v>
      </c>
      <c r="C332" s="3157"/>
      <c r="D332" s="2819">
        <f>E332+F332+G332+H332+I332+J332+K332+L332</f>
        <v>19875000</v>
      </c>
      <c r="E332" s="2903">
        <v>0</v>
      </c>
      <c r="F332" s="2967">
        <f>5649157-3777336</f>
        <v>1871821</v>
      </c>
      <c r="G332" s="2967">
        <f>14225843+3777336</f>
        <v>18003179</v>
      </c>
      <c r="H332" s="2967"/>
      <c r="I332" s="2967"/>
      <c r="J332" s="2967"/>
      <c r="K332" s="2967"/>
      <c r="L332" s="2967"/>
      <c r="M332" s="2968">
        <f>SUM(F332:L332)</f>
        <v>19875000</v>
      </c>
      <c r="N332" s="3154"/>
    </row>
    <row r="333" spans="1:16">
      <c r="A333" s="3134"/>
      <c r="B333" s="626" t="s">
        <v>22</v>
      </c>
      <c r="C333" s="798"/>
      <c r="D333" s="2934">
        <f>+D336+D334</f>
        <v>29545000</v>
      </c>
      <c r="E333" s="2934">
        <f t="shared" ref="E333" si="164">+E336+E334</f>
        <v>0</v>
      </c>
      <c r="F333" s="2934">
        <f t="shared" ref="F333" si="165">+F336+F334</f>
        <v>5500000</v>
      </c>
      <c r="G333" s="2934">
        <f t="shared" ref="G333" si="166">+G336+G334</f>
        <v>24045000</v>
      </c>
      <c r="H333" s="2934"/>
      <c r="I333" s="2934"/>
      <c r="J333" s="2934"/>
      <c r="K333" s="2934"/>
      <c r="L333" s="2934"/>
      <c r="M333" s="3170" t="s">
        <v>23</v>
      </c>
      <c r="N333" s="3191" t="s">
        <v>104</v>
      </c>
      <c r="O333" s="563"/>
      <c r="P333" s="563">
        <v>-1230552</v>
      </c>
    </row>
    <row r="334" spans="1:16" ht="12" customHeight="1">
      <c r="A334" s="3134"/>
      <c r="B334" s="2942" t="s">
        <v>24</v>
      </c>
      <c r="C334" s="3146" t="s">
        <v>243</v>
      </c>
      <c r="D334" s="2937">
        <f>+D335</f>
        <v>9670000</v>
      </c>
      <c r="E334" s="2937">
        <f t="shared" ref="E334:G334" si="167">+E335</f>
        <v>0</v>
      </c>
      <c r="F334" s="2937">
        <f t="shared" si="167"/>
        <v>3628179</v>
      </c>
      <c r="G334" s="2937">
        <f t="shared" si="167"/>
        <v>6041821</v>
      </c>
      <c r="H334" s="2937"/>
      <c r="I334" s="2937"/>
      <c r="J334" s="2937"/>
      <c r="K334" s="2937"/>
      <c r="L334" s="2937"/>
      <c r="M334" s="3162"/>
      <c r="N334" s="3159"/>
    </row>
    <row r="335" spans="1:16" ht="12" customHeight="1">
      <c r="A335" s="3134"/>
      <c r="B335" s="2982" t="s">
        <v>15</v>
      </c>
      <c r="C335" s="3149"/>
      <c r="D335" s="2819">
        <f>E335+F335+G335+H335+I335+J335+K335+L335</f>
        <v>9670000</v>
      </c>
      <c r="E335" s="2903">
        <v>0</v>
      </c>
      <c r="F335" s="2858">
        <f>4895843-1267664</f>
        <v>3628179</v>
      </c>
      <c r="G335" s="2858">
        <f>4774157+1267664</f>
        <v>6041821</v>
      </c>
      <c r="H335" s="2858"/>
      <c r="I335" s="2858"/>
      <c r="J335" s="2858"/>
      <c r="K335" s="2858"/>
      <c r="L335" s="2858"/>
      <c r="M335" s="3162"/>
      <c r="N335" s="3159"/>
    </row>
    <row r="336" spans="1:16" s="298" customFormat="1">
      <c r="A336" s="3134"/>
      <c r="B336" s="837" t="s">
        <v>18</v>
      </c>
      <c r="C336" s="3149"/>
      <c r="D336" s="2972">
        <f>+D337</f>
        <v>19875000</v>
      </c>
      <c r="E336" s="2972">
        <f t="shared" ref="E336:G336" si="168">+E337</f>
        <v>0</v>
      </c>
      <c r="F336" s="2972">
        <f t="shared" si="168"/>
        <v>1871821</v>
      </c>
      <c r="G336" s="2972">
        <f t="shared" si="168"/>
        <v>18003179</v>
      </c>
      <c r="H336" s="2972"/>
      <c r="I336" s="2972"/>
      <c r="J336" s="2972"/>
      <c r="K336" s="2972"/>
      <c r="L336" s="2972"/>
      <c r="M336" s="3162"/>
      <c r="N336" s="3159"/>
    </row>
    <row r="337" spans="1:16" s="298" customFormat="1" ht="13.5" thickBot="1">
      <c r="A337" s="3171"/>
      <c r="B337" s="1389" t="s">
        <v>21</v>
      </c>
      <c r="C337" s="3137"/>
      <c r="D337" s="1337">
        <f>E337+F337+G337+H337+I337+J337+K337+L337</f>
        <v>19875000</v>
      </c>
      <c r="E337" s="1337">
        <v>0</v>
      </c>
      <c r="F337" s="607">
        <f>5649157-3777336</f>
        <v>1871821</v>
      </c>
      <c r="G337" s="607">
        <f>14225843+3777336</f>
        <v>18003179</v>
      </c>
      <c r="H337" s="607"/>
      <c r="I337" s="607"/>
      <c r="J337" s="607"/>
      <c r="K337" s="607"/>
      <c r="L337" s="607"/>
      <c r="M337" s="3163"/>
      <c r="N337" s="3160"/>
    </row>
    <row r="338" spans="1:16" ht="42.75" customHeight="1">
      <c r="A338" s="3133" t="s">
        <v>95</v>
      </c>
      <c r="B338" s="506" t="s">
        <v>580</v>
      </c>
      <c r="C338" s="64" t="s">
        <v>81</v>
      </c>
      <c r="D338" s="1187"/>
      <c r="E338" s="45"/>
      <c r="F338" s="45"/>
      <c r="G338" s="45"/>
      <c r="H338" s="45"/>
      <c r="I338" s="45"/>
      <c r="J338" s="45"/>
      <c r="K338" s="45"/>
      <c r="L338" s="45"/>
      <c r="M338" s="46"/>
      <c r="N338" s="3143" t="s">
        <v>87</v>
      </c>
    </row>
    <row r="339" spans="1:16" ht="15.75" customHeight="1">
      <c r="A339" s="3134"/>
      <c r="B339" s="89" t="s">
        <v>10</v>
      </c>
      <c r="C339" s="3037"/>
      <c r="D339" s="3038">
        <f>+D340+D343</f>
        <v>27263322</v>
      </c>
      <c r="E339" s="3038">
        <f t="shared" ref="E339" si="169">+E340+E343</f>
        <v>813322</v>
      </c>
      <c r="F339" s="3038">
        <f t="shared" ref="F339" si="170">+F340+F343</f>
        <v>761900</v>
      </c>
      <c r="G339" s="3038">
        <f t="shared" ref="G339:H339" si="171">+G340+G343</f>
        <v>19850000</v>
      </c>
      <c r="H339" s="3038">
        <f t="shared" si="171"/>
        <v>5838100</v>
      </c>
      <c r="I339" s="3038"/>
      <c r="J339" s="3038"/>
      <c r="K339" s="3038"/>
      <c r="L339" s="3038"/>
      <c r="M339" s="3039">
        <f>+M340+M343</f>
        <v>26450000</v>
      </c>
      <c r="N339" s="3153"/>
      <c r="O339" s="262" t="s">
        <v>344</v>
      </c>
    </row>
    <row r="340" spans="1:16" ht="13.5" customHeight="1">
      <c r="A340" s="3134"/>
      <c r="B340" s="256" t="s">
        <v>24</v>
      </c>
      <c r="C340" s="3155" t="s">
        <v>84</v>
      </c>
      <c r="D340" s="3040">
        <f>+D341+D342</f>
        <v>4780822</v>
      </c>
      <c r="E340" s="3040">
        <f t="shared" ref="E340" si="172">+E341+E342</f>
        <v>813322</v>
      </c>
      <c r="F340" s="3040">
        <f>+F341+F342</f>
        <v>471285</v>
      </c>
      <c r="G340" s="3040">
        <f>+G341+G342</f>
        <v>2977500</v>
      </c>
      <c r="H340" s="3040">
        <f>+H341+H342</f>
        <v>518715</v>
      </c>
      <c r="I340" s="3040"/>
      <c r="J340" s="3040"/>
      <c r="K340" s="3040"/>
      <c r="L340" s="3040"/>
      <c r="M340" s="560">
        <f>+M341</f>
        <v>3967500</v>
      </c>
      <c r="N340" s="3153"/>
      <c r="O340" s="563"/>
    </row>
    <row r="341" spans="1:16" ht="13.5" customHeight="1">
      <c r="A341" s="3134"/>
      <c r="B341" s="1032" t="s">
        <v>12</v>
      </c>
      <c r="C341" s="3156"/>
      <c r="D341" s="280">
        <f>E341+F341+G341+H341+I341+J341+K341+L341</f>
        <v>3972994</v>
      </c>
      <c r="E341" s="321">
        <v>5494</v>
      </c>
      <c r="F341" s="998">
        <f>990000-518715</f>
        <v>471285</v>
      </c>
      <c r="G341" s="998">
        <f>2977500</f>
        <v>2977500</v>
      </c>
      <c r="H341" s="998">
        <v>518715</v>
      </c>
      <c r="I341" s="998"/>
      <c r="J341" s="998"/>
      <c r="K341" s="998"/>
      <c r="L341" s="998"/>
      <c r="M341" s="37">
        <f>SUM(F341:L341)</f>
        <v>3967500</v>
      </c>
      <c r="N341" s="3153"/>
    </row>
    <row r="342" spans="1:16" ht="13.5" customHeight="1">
      <c r="A342" s="3134"/>
      <c r="B342" s="1408" t="s">
        <v>15</v>
      </c>
      <c r="C342" s="3156"/>
      <c r="D342" s="280">
        <f>E342+F342+G342+H342+I342+J342+K342+L342</f>
        <v>807828</v>
      </c>
      <c r="E342" s="321">
        <v>807828</v>
      </c>
      <c r="F342" s="1409">
        <v>0</v>
      </c>
      <c r="G342" s="1409">
        <v>0</v>
      </c>
      <c r="H342" s="1409"/>
      <c r="I342" s="1409"/>
      <c r="J342" s="1409"/>
      <c r="K342" s="1409"/>
      <c r="L342" s="1409"/>
      <c r="M342" s="1381">
        <f>SUM(F342:L342)</f>
        <v>0</v>
      </c>
      <c r="N342" s="3153"/>
    </row>
    <row r="343" spans="1:16" ht="13.5" customHeight="1">
      <c r="A343" s="3134"/>
      <c r="B343" s="1386" t="s">
        <v>18</v>
      </c>
      <c r="C343" s="3156"/>
      <c r="D343" s="808">
        <f>+D344</f>
        <v>22482500</v>
      </c>
      <c r="E343" s="808">
        <f t="shared" ref="E343:H343" si="173">+E344</f>
        <v>0</v>
      </c>
      <c r="F343" s="808">
        <f t="shared" si="173"/>
        <v>290615</v>
      </c>
      <c r="G343" s="808">
        <f t="shared" si="173"/>
        <v>16872500</v>
      </c>
      <c r="H343" s="808">
        <f t="shared" si="173"/>
        <v>5319385</v>
      </c>
      <c r="I343" s="808"/>
      <c r="J343" s="808"/>
      <c r="K343" s="808"/>
      <c r="L343" s="808"/>
      <c r="M343" s="804">
        <f>+M344</f>
        <v>22482500</v>
      </c>
      <c r="N343" s="3153"/>
    </row>
    <row r="344" spans="1:16" ht="13.5" customHeight="1">
      <c r="A344" s="3134"/>
      <c r="B344" s="844" t="s">
        <v>21</v>
      </c>
      <c r="C344" s="3157"/>
      <c r="D344" s="280">
        <f>E344+F344+G344+H344+I344+J344+K344+L344</f>
        <v>22482500</v>
      </c>
      <c r="E344" s="321">
        <v>0</v>
      </c>
      <c r="F344" s="998">
        <f>5610000-5319385</f>
        <v>290615</v>
      </c>
      <c r="G344" s="998">
        <v>16872500</v>
      </c>
      <c r="H344" s="998">
        <v>5319385</v>
      </c>
      <c r="I344" s="998"/>
      <c r="J344" s="998"/>
      <c r="K344" s="998"/>
      <c r="L344" s="998"/>
      <c r="M344" s="1381">
        <f>SUM(F344:L344)</f>
        <v>22482500</v>
      </c>
      <c r="N344" s="3154"/>
    </row>
    <row r="345" spans="1:16" ht="15" customHeight="1">
      <c r="A345" s="3134"/>
      <c r="B345" s="626" t="s">
        <v>22</v>
      </c>
      <c r="C345" s="798"/>
      <c r="D345" s="982">
        <f>+D348+D346</f>
        <v>23290328</v>
      </c>
      <c r="E345" s="982">
        <f t="shared" ref="E345" si="174">+E348+E346</f>
        <v>807828</v>
      </c>
      <c r="F345" s="982">
        <f t="shared" ref="F345:H345" si="175">+F348+F346</f>
        <v>0</v>
      </c>
      <c r="G345" s="982">
        <f t="shared" si="175"/>
        <v>17163115</v>
      </c>
      <c r="H345" s="982">
        <f t="shared" si="175"/>
        <v>5319385</v>
      </c>
      <c r="I345" s="982"/>
      <c r="J345" s="982"/>
      <c r="K345" s="982"/>
      <c r="L345" s="982"/>
      <c r="M345" s="3161" t="s">
        <v>23</v>
      </c>
      <c r="N345" s="3158" t="s">
        <v>104</v>
      </c>
      <c r="O345" s="563"/>
      <c r="P345" s="563">
        <v>-1230552</v>
      </c>
    </row>
    <row r="346" spans="1:16" ht="12" customHeight="1">
      <c r="A346" s="3134"/>
      <c r="B346" s="1388" t="s">
        <v>24</v>
      </c>
      <c r="C346" s="3106" t="s">
        <v>243</v>
      </c>
      <c r="D346" s="808">
        <f>+D347</f>
        <v>807828</v>
      </c>
      <c r="E346" s="808">
        <f t="shared" ref="E346:H346" si="176">+E347</f>
        <v>807828</v>
      </c>
      <c r="F346" s="808">
        <f t="shared" si="176"/>
        <v>0</v>
      </c>
      <c r="G346" s="808">
        <f t="shared" si="176"/>
        <v>0</v>
      </c>
      <c r="H346" s="808">
        <f t="shared" si="176"/>
        <v>0</v>
      </c>
      <c r="I346" s="808"/>
      <c r="J346" s="808"/>
      <c r="K346" s="808"/>
      <c r="L346" s="808"/>
      <c r="M346" s="3162"/>
      <c r="N346" s="3159"/>
    </row>
    <row r="347" spans="1:16" ht="12" customHeight="1">
      <c r="A347" s="3134"/>
      <c r="B347" s="1380" t="s">
        <v>15</v>
      </c>
      <c r="C347" s="3149"/>
      <c r="D347" s="280">
        <f>E347+F347+G347+H347+I347+J347+K347+L347</f>
        <v>807828</v>
      </c>
      <c r="E347" s="321">
        <v>807828</v>
      </c>
      <c r="F347" s="1362"/>
      <c r="G347" s="1362"/>
      <c r="H347" s="1362"/>
      <c r="I347" s="1362"/>
      <c r="J347" s="1362"/>
      <c r="K347" s="1362"/>
      <c r="L347" s="1362"/>
      <c r="M347" s="3162"/>
      <c r="N347" s="3159"/>
    </row>
    <row r="348" spans="1:16" s="298" customFormat="1" ht="13.5" customHeight="1">
      <c r="A348" s="3134"/>
      <c r="B348" s="837" t="s">
        <v>18</v>
      </c>
      <c r="C348" s="3149"/>
      <c r="D348" s="1281">
        <f>+D349</f>
        <v>22482500</v>
      </c>
      <c r="E348" s="1281">
        <f t="shared" ref="E348:H348" si="177">+E349</f>
        <v>0</v>
      </c>
      <c r="F348" s="1281">
        <f t="shared" si="177"/>
        <v>0</v>
      </c>
      <c r="G348" s="1281">
        <f t="shared" si="177"/>
        <v>17163115</v>
      </c>
      <c r="H348" s="1281">
        <f t="shared" si="177"/>
        <v>5319385</v>
      </c>
      <c r="I348" s="1281"/>
      <c r="J348" s="1281"/>
      <c r="K348" s="1281"/>
      <c r="L348" s="1281"/>
      <c r="M348" s="3162"/>
      <c r="N348" s="3159"/>
    </row>
    <row r="349" spans="1:16" s="298" customFormat="1" ht="13.5" thickBot="1">
      <c r="A349" s="3171"/>
      <c r="B349" s="1389" t="s">
        <v>21</v>
      </c>
      <c r="C349" s="3137"/>
      <c r="D349" s="280">
        <f>E349+F349+G349+H349+I349+J349+K349+L349</f>
        <v>22482500</v>
      </c>
      <c r="E349" s="321">
        <v>0</v>
      </c>
      <c r="F349" s="607">
        <f>5610000-5610000</f>
        <v>0</v>
      </c>
      <c r="G349" s="607">
        <f>16872500+290615</f>
        <v>17163115</v>
      </c>
      <c r="H349" s="607">
        <v>5319385</v>
      </c>
      <c r="I349" s="607"/>
      <c r="J349" s="607"/>
      <c r="K349" s="607"/>
      <c r="L349" s="607"/>
      <c r="M349" s="3163"/>
      <c r="N349" s="3160"/>
    </row>
    <row r="350" spans="1:16" ht="42.75" customHeight="1">
      <c r="A350" s="3133" t="s">
        <v>96</v>
      </c>
      <c r="B350" s="506" t="s">
        <v>536</v>
      </c>
      <c r="C350" s="64" t="s">
        <v>81</v>
      </c>
      <c r="D350" s="1187"/>
      <c r="E350" s="45"/>
      <c r="F350" s="45"/>
      <c r="G350" s="45"/>
      <c r="H350" s="45"/>
      <c r="I350" s="45"/>
      <c r="J350" s="45"/>
      <c r="K350" s="45"/>
      <c r="L350" s="45"/>
      <c r="M350" s="46"/>
      <c r="N350" s="3143" t="s">
        <v>87</v>
      </c>
    </row>
    <row r="351" spans="1:16" ht="13.5" customHeight="1">
      <c r="A351" s="3134"/>
      <c r="B351" s="626" t="s">
        <v>10</v>
      </c>
      <c r="C351" s="2245"/>
      <c r="D351" s="1370">
        <f>+D352+D355</f>
        <v>11142098</v>
      </c>
      <c r="E351" s="1370">
        <f t="shared" ref="E351" si="178">+E352+E355</f>
        <v>0</v>
      </c>
      <c r="F351" s="1370">
        <f t="shared" ref="F351:G351" si="179">+F352+F355</f>
        <v>2860524</v>
      </c>
      <c r="G351" s="1370">
        <f t="shared" si="179"/>
        <v>8281574</v>
      </c>
      <c r="H351" s="1370"/>
      <c r="I351" s="1370"/>
      <c r="J351" s="1370"/>
      <c r="K351" s="1370"/>
      <c r="L351" s="1370"/>
      <c r="M351" s="1355">
        <f>+M352+M355</f>
        <v>11142098</v>
      </c>
      <c r="N351" s="3153"/>
    </row>
    <row r="352" spans="1:16" ht="13.5" customHeight="1">
      <c r="A352" s="3134"/>
      <c r="B352" s="832" t="s">
        <v>24</v>
      </c>
      <c r="C352" s="3155" t="s">
        <v>84</v>
      </c>
      <c r="D352" s="986">
        <f>+D353+D354</f>
        <v>1756314</v>
      </c>
      <c r="E352" s="986">
        <f t="shared" ref="E352" si="180">+E353+E354</f>
        <v>0</v>
      </c>
      <c r="F352" s="986">
        <f>+F353+F354</f>
        <v>514078</v>
      </c>
      <c r="G352" s="986">
        <f>+G353+G354</f>
        <v>1242236</v>
      </c>
      <c r="H352" s="986"/>
      <c r="I352" s="986"/>
      <c r="J352" s="986"/>
      <c r="K352" s="986"/>
      <c r="L352" s="986"/>
      <c r="M352" s="1058">
        <f>+M353</f>
        <v>1756314</v>
      </c>
      <c r="N352" s="3153"/>
      <c r="O352" s="563"/>
    </row>
    <row r="353" spans="1:16" ht="13.5" customHeight="1">
      <c r="A353" s="3134"/>
      <c r="B353" s="1032" t="s">
        <v>12</v>
      </c>
      <c r="C353" s="3156"/>
      <c r="D353" s="280">
        <f>E353+F353+G353+H353+I353+J353+K353+L353</f>
        <v>1756314</v>
      </c>
      <c r="E353" s="321">
        <v>0</v>
      </c>
      <c r="F353" s="998">
        <f>520000-5922</f>
        <v>514078</v>
      </c>
      <c r="G353" s="998">
        <f>1260000-17764</f>
        <v>1242236</v>
      </c>
      <c r="H353" s="998"/>
      <c r="I353" s="998"/>
      <c r="J353" s="998"/>
      <c r="K353" s="998"/>
      <c r="L353" s="998"/>
      <c r="M353" s="1381">
        <f>SUM(F353:L353)</f>
        <v>1756314</v>
      </c>
      <c r="N353" s="3153"/>
    </row>
    <row r="354" spans="1:16" ht="13.5" hidden="1" customHeight="1">
      <c r="A354" s="3134"/>
      <c r="B354" s="1408" t="s">
        <v>15</v>
      </c>
      <c r="C354" s="3156"/>
      <c r="D354" s="280">
        <f>E354+F354+G354+H354+I354+J354+K354+L354</f>
        <v>0</v>
      </c>
      <c r="E354" s="1033">
        <v>0</v>
      </c>
      <c r="F354" s="1409">
        <v>0</v>
      </c>
      <c r="G354" s="1409">
        <v>0</v>
      </c>
      <c r="H354" s="1409"/>
      <c r="I354" s="1409"/>
      <c r="J354" s="1409"/>
      <c r="K354" s="1409"/>
      <c r="L354" s="1409"/>
      <c r="M354" s="1381">
        <f>SUM(F354:L354)</f>
        <v>0</v>
      </c>
      <c r="N354" s="3153"/>
    </row>
    <row r="355" spans="1:16" ht="13.5" customHeight="1">
      <c r="A355" s="3134"/>
      <c r="B355" s="1386" t="s">
        <v>18</v>
      </c>
      <c r="C355" s="3156"/>
      <c r="D355" s="808">
        <f>+D356</f>
        <v>9385784</v>
      </c>
      <c r="E355" s="808">
        <f t="shared" ref="E355:G355" si="181">+E356</f>
        <v>0</v>
      </c>
      <c r="F355" s="808">
        <f t="shared" si="181"/>
        <v>2346446</v>
      </c>
      <c r="G355" s="808">
        <f t="shared" si="181"/>
        <v>7039338</v>
      </c>
      <c r="H355" s="808"/>
      <c r="I355" s="808"/>
      <c r="J355" s="808"/>
      <c r="K355" s="808"/>
      <c r="L355" s="808"/>
      <c r="M355" s="804">
        <f>+M356</f>
        <v>9385784</v>
      </c>
      <c r="N355" s="3153"/>
    </row>
    <row r="356" spans="1:16" ht="13.5" customHeight="1">
      <c r="A356" s="3134"/>
      <c r="B356" s="844" t="s">
        <v>21</v>
      </c>
      <c r="C356" s="3157"/>
      <c r="D356" s="280">
        <f>E356+F356+G356+H356+I356+J356+K356+L356</f>
        <v>9385784</v>
      </c>
      <c r="E356" s="321">
        <v>0</v>
      </c>
      <c r="F356" s="998">
        <f>2380000-33554</f>
        <v>2346446</v>
      </c>
      <c r="G356" s="998">
        <f>7140000-100662</f>
        <v>7039338</v>
      </c>
      <c r="H356" s="998"/>
      <c r="I356" s="998"/>
      <c r="J356" s="998"/>
      <c r="K356" s="998"/>
      <c r="L356" s="998"/>
      <c r="M356" s="1381">
        <f>SUM(F356:L356)</f>
        <v>9385784</v>
      </c>
      <c r="N356" s="3154"/>
    </row>
    <row r="357" spans="1:16" ht="18" customHeight="1">
      <c r="A357" s="3134"/>
      <c r="B357" s="626" t="s">
        <v>22</v>
      </c>
      <c r="C357" s="798"/>
      <c r="D357" s="982">
        <f>+D360+D358</f>
        <v>9385784</v>
      </c>
      <c r="E357" s="982">
        <f t="shared" ref="E357" si="182">+E360+E358</f>
        <v>0</v>
      </c>
      <c r="F357" s="982">
        <f t="shared" ref="F357:G357" si="183">+F360+F358</f>
        <v>2346446</v>
      </c>
      <c r="G357" s="982">
        <f t="shared" si="183"/>
        <v>7039338</v>
      </c>
      <c r="H357" s="982"/>
      <c r="I357" s="982"/>
      <c r="J357" s="982"/>
      <c r="K357" s="982"/>
      <c r="L357" s="982"/>
      <c r="M357" s="3161" t="s">
        <v>23</v>
      </c>
      <c r="N357" s="3158" t="s">
        <v>104</v>
      </c>
      <c r="O357" s="563"/>
      <c r="P357" s="563">
        <v>-1230552</v>
      </c>
    </row>
    <row r="358" spans="1:16" ht="12" hidden="1" customHeight="1">
      <c r="A358" s="3134"/>
      <c r="B358" s="1388" t="s">
        <v>24</v>
      </c>
      <c r="C358" s="3106" t="s">
        <v>243</v>
      </c>
      <c r="D358" s="808">
        <f>+D359</f>
        <v>0</v>
      </c>
      <c r="E358" s="808">
        <f t="shared" ref="E358:G358" si="184">+E359</f>
        <v>0</v>
      </c>
      <c r="F358" s="808">
        <f t="shared" si="184"/>
        <v>0</v>
      </c>
      <c r="G358" s="808">
        <f t="shared" si="184"/>
        <v>0</v>
      </c>
      <c r="H358" s="808"/>
      <c r="I358" s="808"/>
      <c r="J358" s="808"/>
      <c r="K358" s="808"/>
      <c r="L358" s="808"/>
      <c r="M358" s="3162"/>
      <c r="N358" s="3159"/>
    </row>
    <row r="359" spans="1:16" ht="12" hidden="1" customHeight="1">
      <c r="A359" s="3134"/>
      <c r="B359" s="1380" t="s">
        <v>15</v>
      </c>
      <c r="C359" s="3149"/>
      <c r="D359" s="280">
        <f>E359+F359+G359+H359+I359+J359+K359+L359</f>
        <v>0</v>
      </c>
      <c r="E359" s="1362"/>
      <c r="F359" s="1362"/>
      <c r="G359" s="1362"/>
      <c r="H359" s="1362"/>
      <c r="I359" s="1362"/>
      <c r="J359" s="1362"/>
      <c r="K359" s="1362"/>
      <c r="L359" s="1362"/>
      <c r="M359" s="3162"/>
      <c r="N359" s="3159"/>
    </row>
    <row r="360" spans="1:16" s="298" customFormat="1" ht="13.5" customHeight="1">
      <c r="A360" s="3134"/>
      <c r="B360" s="837" t="s">
        <v>18</v>
      </c>
      <c r="C360" s="3149"/>
      <c r="D360" s="1281">
        <f>+D361</f>
        <v>9385784</v>
      </c>
      <c r="E360" s="1281">
        <f t="shared" ref="E360:G360" si="185">+E361</f>
        <v>0</v>
      </c>
      <c r="F360" s="1281">
        <f t="shared" si="185"/>
        <v>2346446</v>
      </c>
      <c r="G360" s="1281">
        <f t="shared" si="185"/>
        <v>7039338</v>
      </c>
      <c r="H360" s="1281"/>
      <c r="I360" s="1281"/>
      <c r="J360" s="1281"/>
      <c r="K360" s="1281"/>
      <c r="L360" s="1281"/>
      <c r="M360" s="3162"/>
      <c r="N360" s="3159"/>
    </row>
    <row r="361" spans="1:16" s="298" customFormat="1" ht="13.5" thickBot="1">
      <c r="A361" s="3171"/>
      <c r="B361" s="1389" t="s">
        <v>21</v>
      </c>
      <c r="C361" s="3137"/>
      <c r="D361" s="280">
        <f>E361+F361+G361+H361+I361+J361+K361+L361</f>
        <v>9385784</v>
      </c>
      <c r="E361" s="321">
        <v>0</v>
      </c>
      <c r="F361" s="607">
        <f>2380000-33554</f>
        <v>2346446</v>
      </c>
      <c r="G361" s="607">
        <f>7140000-100662</f>
        <v>7039338</v>
      </c>
      <c r="H361" s="607"/>
      <c r="I361" s="607"/>
      <c r="J361" s="607"/>
      <c r="K361" s="607"/>
      <c r="L361" s="607"/>
      <c r="M361" s="3163"/>
      <c r="N361" s="3160"/>
    </row>
    <row r="362" spans="1:16" ht="28.5" customHeight="1">
      <c r="A362" s="3133" t="s">
        <v>97</v>
      </c>
      <c r="B362" s="506" t="s">
        <v>537</v>
      </c>
      <c r="C362" s="64" t="s">
        <v>81</v>
      </c>
      <c r="D362" s="1187"/>
      <c r="E362" s="45"/>
      <c r="F362" s="45"/>
      <c r="G362" s="45"/>
      <c r="H362" s="45"/>
      <c r="I362" s="45"/>
      <c r="J362" s="45"/>
      <c r="K362" s="45"/>
      <c r="L362" s="45"/>
      <c r="M362" s="46"/>
      <c r="N362" s="3143" t="s">
        <v>87</v>
      </c>
    </row>
    <row r="363" spans="1:16" ht="15.75" customHeight="1">
      <c r="A363" s="3134"/>
      <c r="B363" s="626" t="s">
        <v>10</v>
      </c>
      <c r="C363" s="2245"/>
      <c r="D363" s="1370">
        <f>+D364+D367</f>
        <v>20852656</v>
      </c>
      <c r="E363" s="1370">
        <f t="shared" ref="E363" si="186">+E364+E367</f>
        <v>0</v>
      </c>
      <c r="F363" s="1370">
        <f t="shared" ref="F363:G363" si="187">+F364+F367</f>
        <v>1700000</v>
      </c>
      <c r="G363" s="1370">
        <f t="shared" si="187"/>
        <v>19152656</v>
      </c>
      <c r="H363" s="1370"/>
      <c r="I363" s="1370"/>
      <c r="J363" s="1370"/>
      <c r="K363" s="1370"/>
      <c r="L363" s="1370"/>
      <c r="M363" s="1355">
        <f>+M364+M367</f>
        <v>20852656</v>
      </c>
      <c r="N363" s="3153"/>
      <c r="O363" s="262" t="s">
        <v>344</v>
      </c>
    </row>
    <row r="364" spans="1:16" ht="13.5" customHeight="1">
      <c r="A364" s="3134"/>
      <c r="B364" s="832" t="s">
        <v>24</v>
      </c>
      <c r="C364" s="3155" t="s">
        <v>84</v>
      </c>
      <c r="D364" s="986">
        <f>+D365+D366</f>
        <v>3212898</v>
      </c>
      <c r="E364" s="986">
        <f t="shared" ref="E364" si="188">+E365+E366</f>
        <v>0</v>
      </c>
      <c r="F364" s="986">
        <f>+F365+F366</f>
        <v>340000</v>
      </c>
      <c r="G364" s="986">
        <f>+G365+G366</f>
        <v>2872898</v>
      </c>
      <c r="H364" s="986"/>
      <c r="I364" s="986"/>
      <c r="J364" s="986"/>
      <c r="K364" s="986"/>
      <c r="L364" s="986"/>
      <c r="M364" s="1058">
        <f>+M365</f>
        <v>3212898</v>
      </c>
      <c r="N364" s="3153"/>
      <c r="O364" s="563"/>
    </row>
    <row r="365" spans="1:16" ht="13.5" customHeight="1">
      <c r="A365" s="3134"/>
      <c r="B365" s="1032" t="s">
        <v>12</v>
      </c>
      <c r="C365" s="3156"/>
      <c r="D365" s="280">
        <f>E365+F365+G365+H365+I365+J365+K365+L365</f>
        <v>3212898</v>
      </c>
      <c r="E365" s="321">
        <v>0</v>
      </c>
      <c r="F365" s="998">
        <f>824400-289400-195000</f>
        <v>340000</v>
      </c>
      <c r="G365" s="998">
        <f>4671600-1971600+172898</f>
        <v>2872898</v>
      </c>
      <c r="H365" s="998"/>
      <c r="I365" s="998"/>
      <c r="J365" s="998"/>
      <c r="K365" s="998"/>
      <c r="L365" s="998"/>
      <c r="M365" s="1381">
        <f>SUM(F365:L365)</f>
        <v>3212898</v>
      </c>
      <c r="N365" s="3153"/>
    </row>
    <row r="366" spans="1:16" ht="13.5" hidden="1" customHeight="1">
      <c r="A366" s="3134"/>
      <c r="B366" s="1408" t="s">
        <v>15</v>
      </c>
      <c r="C366" s="3156"/>
      <c r="D366" s="280">
        <f>E366+F366+G366+H366+I366+J366+K366+L366</f>
        <v>0</v>
      </c>
      <c r="E366" s="1033">
        <v>0</v>
      </c>
      <c r="F366" s="1409">
        <v>0</v>
      </c>
      <c r="G366" s="1409">
        <v>0</v>
      </c>
      <c r="H366" s="1409"/>
      <c r="I366" s="1409"/>
      <c r="J366" s="1409"/>
      <c r="K366" s="1409"/>
      <c r="L366" s="1409"/>
      <c r="M366" s="1381">
        <f>SUM(F366:L366)</f>
        <v>0</v>
      </c>
      <c r="N366" s="3153"/>
    </row>
    <row r="367" spans="1:16" ht="13.5" customHeight="1">
      <c r="A367" s="3134"/>
      <c r="B367" s="1386" t="s">
        <v>18</v>
      </c>
      <c r="C367" s="3156"/>
      <c r="D367" s="808">
        <f>+D368</f>
        <v>17639758</v>
      </c>
      <c r="E367" s="808">
        <f t="shared" ref="E367:G367" si="189">+E368</f>
        <v>0</v>
      </c>
      <c r="F367" s="808">
        <f t="shared" si="189"/>
        <v>1360000</v>
      </c>
      <c r="G367" s="808">
        <f t="shared" si="189"/>
        <v>16279758</v>
      </c>
      <c r="H367" s="808"/>
      <c r="I367" s="808"/>
      <c r="J367" s="808"/>
      <c r="K367" s="808"/>
      <c r="L367" s="808"/>
      <c r="M367" s="804">
        <f>+M368</f>
        <v>17639758</v>
      </c>
      <c r="N367" s="3153"/>
    </row>
    <row r="368" spans="1:16" ht="13.5" customHeight="1">
      <c r="A368" s="3134"/>
      <c r="B368" s="844" t="s">
        <v>21</v>
      </c>
      <c r="C368" s="3157"/>
      <c r="D368" s="280">
        <f>E368+F368+G368+H368+I368+J368+K368+L368</f>
        <v>17639758</v>
      </c>
      <c r="E368" s="321">
        <v>0</v>
      </c>
      <c r="F368" s="998">
        <f>4671600-2206600-1105000</f>
        <v>1360000</v>
      </c>
      <c r="G368" s="998">
        <f>26472400-11172400+979758</f>
        <v>16279758</v>
      </c>
      <c r="H368" s="998"/>
      <c r="I368" s="998"/>
      <c r="J368" s="998"/>
      <c r="K368" s="998"/>
      <c r="L368" s="998"/>
      <c r="M368" s="1381">
        <f>SUM(F368:L368)</f>
        <v>17639758</v>
      </c>
      <c r="N368" s="3154"/>
    </row>
    <row r="369" spans="1:16">
      <c r="A369" s="3134"/>
      <c r="B369" s="626" t="s">
        <v>22</v>
      </c>
      <c r="C369" s="798"/>
      <c r="D369" s="982">
        <f>+D372+D370</f>
        <v>17639758</v>
      </c>
      <c r="E369" s="982">
        <f t="shared" ref="E369" si="190">+E372+E370</f>
        <v>0</v>
      </c>
      <c r="F369" s="982">
        <f t="shared" ref="F369:G369" si="191">+F372+F370</f>
        <v>1360000</v>
      </c>
      <c r="G369" s="982">
        <f t="shared" si="191"/>
        <v>16279758</v>
      </c>
      <c r="H369" s="982"/>
      <c r="I369" s="982"/>
      <c r="J369" s="982"/>
      <c r="K369" s="982"/>
      <c r="L369" s="982"/>
      <c r="M369" s="3161" t="s">
        <v>23</v>
      </c>
      <c r="N369" s="3158" t="s">
        <v>104</v>
      </c>
      <c r="O369" s="563"/>
      <c r="P369" s="563">
        <v>-1230552</v>
      </c>
    </row>
    <row r="370" spans="1:16" ht="12" hidden="1" customHeight="1">
      <c r="A370" s="3134"/>
      <c r="B370" s="1388" t="s">
        <v>24</v>
      </c>
      <c r="C370" s="3106" t="s">
        <v>243</v>
      </c>
      <c r="D370" s="808">
        <f>+D371</f>
        <v>0</v>
      </c>
      <c r="E370" s="808">
        <f t="shared" ref="E370:G370" si="192">+E371</f>
        <v>0</v>
      </c>
      <c r="F370" s="808">
        <f t="shared" si="192"/>
        <v>0</v>
      </c>
      <c r="G370" s="808">
        <f t="shared" si="192"/>
        <v>0</v>
      </c>
      <c r="H370" s="808"/>
      <c r="I370" s="808"/>
      <c r="J370" s="808"/>
      <c r="K370" s="808"/>
      <c r="L370" s="808"/>
      <c r="M370" s="3162"/>
      <c r="N370" s="3159"/>
    </row>
    <row r="371" spans="1:16" ht="12" hidden="1" customHeight="1">
      <c r="A371" s="3134"/>
      <c r="B371" s="1380" t="s">
        <v>15</v>
      </c>
      <c r="C371" s="3149"/>
      <c r="D371" s="280">
        <f>E371+F371+G371+H371+I371+J371+K371+L371</f>
        <v>0</v>
      </c>
      <c r="E371" s="1362"/>
      <c r="F371" s="1362"/>
      <c r="G371" s="1362"/>
      <c r="H371" s="1362"/>
      <c r="I371" s="1362"/>
      <c r="J371" s="1362"/>
      <c r="K371" s="1362"/>
      <c r="L371" s="1362"/>
      <c r="M371" s="3162"/>
      <c r="N371" s="3159"/>
    </row>
    <row r="372" spans="1:16" s="298" customFormat="1" ht="13.5" customHeight="1">
      <c r="A372" s="3134"/>
      <c r="B372" s="837" t="s">
        <v>18</v>
      </c>
      <c r="C372" s="3149"/>
      <c r="D372" s="1281">
        <f>+D373</f>
        <v>17639758</v>
      </c>
      <c r="E372" s="1281">
        <f t="shared" ref="E372:G372" si="193">+E373</f>
        <v>0</v>
      </c>
      <c r="F372" s="1281">
        <f t="shared" si="193"/>
        <v>1360000</v>
      </c>
      <c r="G372" s="1281">
        <f t="shared" si="193"/>
        <v>16279758</v>
      </c>
      <c r="H372" s="1281"/>
      <c r="I372" s="1281"/>
      <c r="J372" s="1281"/>
      <c r="K372" s="1281"/>
      <c r="L372" s="1281"/>
      <c r="M372" s="3162"/>
      <c r="N372" s="3159"/>
    </row>
    <row r="373" spans="1:16" s="298" customFormat="1" ht="13.5" thickBot="1">
      <c r="A373" s="3171"/>
      <c r="B373" s="1389" t="s">
        <v>21</v>
      </c>
      <c r="C373" s="3137"/>
      <c r="D373" s="280">
        <f>E373+F373+G373+H373+I373+J373+K373+L373</f>
        <v>17639758</v>
      </c>
      <c r="E373" s="321">
        <v>0</v>
      </c>
      <c r="F373" s="607">
        <f>4671600-2206600-1105000</f>
        <v>1360000</v>
      </c>
      <c r="G373" s="607">
        <f>26472400-11172400+979758</f>
        <v>16279758</v>
      </c>
      <c r="H373" s="607"/>
      <c r="I373" s="607"/>
      <c r="J373" s="607"/>
      <c r="K373" s="607"/>
      <c r="L373" s="607"/>
      <c r="M373" s="3163"/>
      <c r="N373" s="3160"/>
    </row>
    <row r="374" spans="1:16" ht="23.25" customHeight="1">
      <c r="A374" s="3133" t="s">
        <v>98</v>
      </c>
      <c r="B374" s="317" t="s">
        <v>581</v>
      </c>
      <c r="C374" s="64" t="s">
        <v>81</v>
      </c>
      <c r="D374" s="1187"/>
      <c r="E374" s="45"/>
      <c r="F374" s="45"/>
      <c r="G374" s="45"/>
      <c r="H374" s="45"/>
      <c r="I374" s="45"/>
      <c r="J374" s="45"/>
      <c r="K374" s="45"/>
      <c r="L374" s="45"/>
      <c r="M374" s="46"/>
      <c r="N374" s="3143" t="s">
        <v>87</v>
      </c>
      <c r="O374" s="262" t="s">
        <v>344</v>
      </c>
    </row>
    <row r="375" spans="1:16" ht="12" customHeight="1">
      <c r="A375" s="3134"/>
      <c r="B375" s="2932" t="s">
        <v>10</v>
      </c>
      <c r="C375" s="2974"/>
      <c r="D375" s="3041">
        <f t="shared" ref="D375" si="194">+D376+D379</f>
        <v>10065420</v>
      </c>
      <c r="E375" s="2847">
        <f t="shared" ref="E375" si="195">+E376+E379</f>
        <v>0</v>
      </c>
      <c r="F375" s="2847">
        <f>+F376+F379</f>
        <v>3426779</v>
      </c>
      <c r="G375" s="2847">
        <f>+G376+G379</f>
        <v>6638641</v>
      </c>
      <c r="H375" s="2847"/>
      <c r="I375" s="2847"/>
      <c r="J375" s="2847"/>
      <c r="K375" s="2847"/>
      <c r="L375" s="2847"/>
      <c r="M375" s="2849">
        <f>M376+M379</f>
        <v>10065420</v>
      </c>
      <c r="N375" s="3153"/>
      <c r="O375" s="563"/>
    </row>
    <row r="376" spans="1:16" ht="13.5" customHeight="1">
      <c r="A376" s="3134"/>
      <c r="B376" s="2942" t="s">
        <v>24</v>
      </c>
      <c r="C376" s="3146" t="s">
        <v>84</v>
      </c>
      <c r="D376" s="2851">
        <f>+D377+D378</f>
        <v>9151331</v>
      </c>
      <c r="E376" s="2832">
        <f t="shared" ref="E376:G376" si="196">+E377</f>
        <v>0</v>
      </c>
      <c r="F376" s="2851">
        <f t="shared" si="196"/>
        <v>2512690</v>
      </c>
      <c r="G376" s="2832">
        <f t="shared" si="196"/>
        <v>6638641</v>
      </c>
      <c r="H376" s="2851"/>
      <c r="I376" s="2851"/>
      <c r="J376" s="2965"/>
      <c r="K376" s="2965"/>
      <c r="L376" s="2965"/>
      <c r="M376" s="2938">
        <f>M377</f>
        <v>9151331</v>
      </c>
      <c r="N376" s="3153"/>
      <c r="O376" s="563"/>
    </row>
    <row r="377" spans="1:16" ht="12" customHeight="1">
      <c r="A377" s="3134"/>
      <c r="B377" s="2982" t="s">
        <v>12</v>
      </c>
      <c r="C377" s="3147"/>
      <c r="D377" s="2819">
        <f>E377+F377+G377+H377+I377+J377+K377+L377</f>
        <v>9151331</v>
      </c>
      <c r="E377" s="2903">
        <v>0</v>
      </c>
      <c r="F377" s="2967">
        <f>3200000-1940000+1520081+249090-73261-57720-385500</f>
        <v>2512690</v>
      </c>
      <c r="G377" s="2967">
        <f>4984499+500000+710922+57720+385500</f>
        <v>6638641</v>
      </c>
      <c r="H377" s="2967"/>
      <c r="I377" s="2967"/>
      <c r="J377" s="2967"/>
      <c r="K377" s="2967"/>
      <c r="L377" s="2967"/>
      <c r="M377" s="2968">
        <f>SUM(F377:L377)</f>
        <v>9151331</v>
      </c>
      <c r="N377" s="3153"/>
    </row>
    <row r="378" spans="1:16" hidden="1">
      <c r="A378" s="3134"/>
      <c r="B378" s="103" t="s">
        <v>15</v>
      </c>
      <c r="C378" s="3147"/>
      <c r="D378" s="2819">
        <f>E378+F378+G378+H378+I378+J378+K378+L378</f>
        <v>0</v>
      </c>
      <c r="E378" s="3025">
        <v>0</v>
      </c>
      <c r="F378" s="3026"/>
      <c r="G378" s="3026"/>
      <c r="H378" s="3026"/>
      <c r="I378" s="3026"/>
      <c r="J378" s="231"/>
      <c r="K378" s="231"/>
      <c r="L378" s="231"/>
      <c r="M378" s="76"/>
      <c r="N378" s="3153"/>
    </row>
    <row r="379" spans="1:16" ht="13.5" customHeight="1">
      <c r="A379" s="3134"/>
      <c r="B379" s="3029" t="s">
        <v>18</v>
      </c>
      <c r="C379" s="3147"/>
      <c r="D379" s="2937">
        <f>+D380</f>
        <v>914089</v>
      </c>
      <c r="E379" s="2859">
        <f t="shared" ref="E379:G379" si="197">+E380</f>
        <v>0</v>
      </c>
      <c r="F379" s="2851">
        <f t="shared" si="197"/>
        <v>914089</v>
      </c>
      <c r="G379" s="3042">
        <f t="shared" si="197"/>
        <v>0</v>
      </c>
      <c r="H379" s="2859"/>
      <c r="I379" s="2859"/>
      <c r="J379" s="2937"/>
      <c r="K379" s="2937"/>
      <c r="L379" s="2937"/>
      <c r="M379" s="2938">
        <f>M380</f>
        <v>914089</v>
      </c>
      <c r="N379" s="3153"/>
    </row>
    <row r="380" spans="1:16">
      <c r="A380" s="3134"/>
      <c r="B380" s="1032" t="s">
        <v>21</v>
      </c>
      <c r="C380" s="3148"/>
      <c r="D380" s="3027">
        <f>E380+F380+G380+H380+I380+J380+K380+L380</f>
        <v>914089</v>
      </c>
      <c r="E380" s="2903">
        <v>0</v>
      </c>
      <c r="F380" s="2967">
        <f>1617722-288485-415148</f>
        <v>914089</v>
      </c>
      <c r="G380" s="3043">
        <v>0</v>
      </c>
      <c r="H380" s="2967"/>
      <c r="I380" s="2967"/>
      <c r="J380" s="2967"/>
      <c r="K380" s="2967"/>
      <c r="L380" s="2967"/>
      <c r="M380" s="2968">
        <f>SUM(F380:L380)</f>
        <v>914089</v>
      </c>
      <c r="N380" s="3154"/>
    </row>
    <row r="381" spans="1:16" ht="12" customHeight="1">
      <c r="A381" s="3135"/>
      <c r="B381" s="2932" t="s">
        <v>22</v>
      </c>
      <c r="C381" s="101"/>
      <c r="D381" s="116">
        <f>+D384+D382</f>
        <v>914089</v>
      </c>
      <c r="E381" s="116">
        <f t="shared" ref="E381" si="198">+E384+E382</f>
        <v>0</v>
      </c>
      <c r="F381" s="1268">
        <f t="shared" ref="F381:G381" si="199">+F384+F382</f>
        <v>0</v>
      </c>
      <c r="G381" s="116">
        <f t="shared" si="199"/>
        <v>914089</v>
      </c>
      <c r="H381" s="116"/>
      <c r="I381" s="116"/>
      <c r="J381" s="116"/>
      <c r="K381" s="116"/>
      <c r="L381" s="116"/>
      <c r="M381" s="3166" t="s">
        <v>23</v>
      </c>
      <c r="N381" s="3237" t="s">
        <v>104</v>
      </c>
    </row>
    <row r="382" spans="1:16" ht="13.5" hidden="1" customHeight="1">
      <c r="A382" s="3135"/>
      <c r="B382" s="2942" t="s">
        <v>24</v>
      </c>
      <c r="C382" s="3146" t="s">
        <v>243</v>
      </c>
      <c r="D382" s="57">
        <f>+D383</f>
        <v>0</v>
      </c>
      <c r="E382" s="57">
        <f t="shared" ref="E382" si="200">+E383</f>
        <v>0</v>
      </c>
      <c r="F382" s="301"/>
      <c r="G382" s="57"/>
      <c r="H382" s="57"/>
      <c r="I382" s="57"/>
      <c r="J382" s="57"/>
      <c r="K382" s="57"/>
      <c r="L382" s="57"/>
      <c r="M382" s="3167"/>
      <c r="N382" s="3184"/>
    </row>
    <row r="383" spans="1:16" ht="12.75" hidden="1" customHeight="1">
      <c r="A383" s="3135"/>
      <c r="B383" s="103" t="s">
        <v>15</v>
      </c>
      <c r="C383" s="3149"/>
      <c r="D383" s="2819">
        <f>E383+F383+G383+H383+I383+J383+K383+L383</f>
        <v>0</v>
      </c>
      <c r="E383" s="2858">
        <v>0</v>
      </c>
      <c r="F383" s="3028"/>
      <c r="G383" s="2858"/>
      <c r="H383" s="2858"/>
      <c r="I383" s="2858"/>
      <c r="J383" s="2858"/>
      <c r="K383" s="2858"/>
      <c r="L383" s="2858"/>
      <c r="M383" s="3167"/>
      <c r="N383" s="3184"/>
    </row>
    <row r="384" spans="1:16" ht="12" customHeight="1">
      <c r="A384" s="3135"/>
      <c r="B384" s="3029" t="s">
        <v>18</v>
      </c>
      <c r="C384" s="3149"/>
      <c r="D384" s="2937">
        <f t="shared" ref="D384:G384" si="201">+D385</f>
        <v>914089</v>
      </c>
      <c r="E384" s="2859">
        <f t="shared" si="201"/>
        <v>0</v>
      </c>
      <c r="F384" s="3042">
        <f t="shared" si="201"/>
        <v>0</v>
      </c>
      <c r="G384" s="2859">
        <f t="shared" si="201"/>
        <v>914089</v>
      </c>
      <c r="H384" s="2859"/>
      <c r="I384" s="2859"/>
      <c r="J384" s="2859"/>
      <c r="K384" s="2859"/>
      <c r="L384" s="2859"/>
      <c r="M384" s="3167"/>
      <c r="N384" s="3184"/>
    </row>
    <row r="385" spans="1:17" ht="13.5" customHeight="1" thickBot="1">
      <c r="A385" s="3136"/>
      <c r="B385" s="1389" t="s">
        <v>21</v>
      </c>
      <c r="C385" s="3137"/>
      <c r="D385" s="1337">
        <f>E385+F385+G385+H385+I385+J385+K385+L385</f>
        <v>914089</v>
      </c>
      <c r="E385" s="1337">
        <v>0</v>
      </c>
      <c r="F385" s="508">
        <f>1900090-569500-416501-914089</f>
        <v>0</v>
      </c>
      <c r="G385" s="63">
        <v>914089</v>
      </c>
      <c r="H385" s="63"/>
      <c r="I385" s="620"/>
      <c r="J385" s="620"/>
      <c r="K385" s="620"/>
      <c r="L385" s="620"/>
      <c r="M385" s="3168"/>
      <c r="N385" s="3185"/>
    </row>
    <row r="386" spans="1:17" ht="27.75" hidden="1" customHeight="1">
      <c r="A386" s="3133"/>
      <c r="B386" s="82"/>
      <c r="C386" s="64" t="s">
        <v>111</v>
      </c>
      <c r="D386" s="65"/>
      <c r="E386" s="45"/>
      <c r="F386" s="45"/>
      <c r="G386" s="45"/>
      <c r="H386" s="45"/>
      <c r="I386" s="45"/>
      <c r="J386" s="45"/>
      <c r="K386" s="45"/>
      <c r="L386" s="45"/>
      <c r="M386" s="46"/>
      <c r="N386" s="3175" t="s">
        <v>104</v>
      </c>
      <c r="O386" s="3244" t="s">
        <v>343</v>
      </c>
      <c r="P386" s="3245"/>
      <c r="Q386" s="3245"/>
    </row>
    <row r="387" spans="1:17" ht="15" hidden="1" customHeight="1">
      <c r="A387" s="3134"/>
      <c r="B387" s="495" t="s">
        <v>10</v>
      </c>
      <c r="C387" s="22"/>
      <c r="D387" s="484">
        <f>+D388+D391</f>
        <v>0</v>
      </c>
      <c r="E387" s="484">
        <v>0</v>
      </c>
      <c r="F387" s="484"/>
      <c r="G387" s="484"/>
      <c r="H387" s="484"/>
      <c r="I387" s="484"/>
      <c r="J387" s="484"/>
      <c r="K387" s="484"/>
      <c r="L387" s="484"/>
      <c r="M387" s="470">
        <f>M388+M391</f>
        <v>0</v>
      </c>
      <c r="N387" s="3159"/>
      <c r="O387" s="563"/>
    </row>
    <row r="388" spans="1:17" ht="13.5" hidden="1" customHeight="1">
      <c r="A388" s="3134"/>
      <c r="B388" s="556" t="s">
        <v>24</v>
      </c>
      <c r="C388" s="3178" t="s">
        <v>84</v>
      </c>
      <c r="D388" s="87">
        <f>+D389+D390</f>
        <v>0</v>
      </c>
      <c r="E388" s="87">
        <v>0</v>
      </c>
      <c r="F388" s="87"/>
      <c r="G388" s="87"/>
      <c r="H388" s="87"/>
      <c r="I388" s="87"/>
      <c r="J388" s="87"/>
      <c r="K388" s="87"/>
      <c r="L388" s="87"/>
      <c r="M388" s="486">
        <f>+M389+M390</f>
        <v>0</v>
      </c>
      <c r="N388" s="3159"/>
      <c r="O388" s="563"/>
    </row>
    <row r="389" spans="1:17" ht="11.25" hidden="1" customHeight="1">
      <c r="A389" s="3134"/>
      <c r="B389" s="1265" t="s">
        <v>12</v>
      </c>
      <c r="C389" s="3147"/>
      <c r="D389" s="280">
        <f t="shared" ref="D389:D390" si="202">E389+F389+G389+H389+I389+J389+K389+L389</f>
        <v>0</v>
      </c>
      <c r="E389" s="576">
        <v>0</v>
      </c>
      <c r="F389" s="598"/>
      <c r="G389" s="598"/>
      <c r="H389" s="598"/>
      <c r="I389" s="598"/>
      <c r="J389" s="598"/>
      <c r="K389" s="598"/>
      <c r="L389" s="598"/>
      <c r="M389" s="599">
        <f>SUM(F389:I389)</f>
        <v>0</v>
      </c>
      <c r="N389" s="3159"/>
    </row>
    <row r="390" spans="1:17" ht="11.25" hidden="1" customHeight="1">
      <c r="A390" s="3134"/>
      <c r="B390" s="738" t="s">
        <v>108</v>
      </c>
      <c r="C390" s="3147"/>
      <c r="D390" s="280">
        <f t="shared" si="202"/>
        <v>0</v>
      </c>
      <c r="E390" s="576">
        <v>0</v>
      </c>
      <c r="F390" s="487"/>
      <c r="G390" s="487"/>
      <c r="H390" s="487"/>
      <c r="I390" s="487"/>
      <c r="J390" s="487"/>
      <c r="K390" s="487"/>
      <c r="L390" s="487"/>
      <c r="M390" s="489">
        <f>SUM(F390:I390)</f>
        <v>0</v>
      </c>
      <c r="N390" s="3159"/>
    </row>
    <row r="391" spans="1:17" hidden="1">
      <c r="A391" s="3134"/>
      <c r="B391" s="577" t="s">
        <v>18</v>
      </c>
      <c r="C391" s="3147"/>
      <c r="D391" s="490">
        <f>+D392</f>
        <v>0</v>
      </c>
      <c r="E391" s="490">
        <v>0</v>
      </c>
      <c r="F391" s="490"/>
      <c r="G391" s="490"/>
      <c r="H391" s="490"/>
      <c r="I391" s="490"/>
      <c r="J391" s="490"/>
      <c r="K391" s="490"/>
      <c r="L391" s="490"/>
      <c r="M391" s="486">
        <f>M392</f>
        <v>0</v>
      </c>
      <c r="N391" s="3159"/>
    </row>
    <row r="392" spans="1:17" hidden="1">
      <c r="A392" s="3134"/>
      <c r="B392" s="601" t="s">
        <v>21</v>
      </c>
      <c r="C392" s="3147"/>
      <c r="D392" s="280">
        <f>E392+F392+G392+H392+I392+J392+K392+L392</f>
        <v>0</v>
      </c>
      <c r="E392" s="1331">
        <v>0</v>
      </c>
      <c r="F392" s="487"/>
      <c r="G392" s="487"/>
      <c r="H392" s="487"/>
      <c r="I392" s="487"/>
      <c r="J392" s="487"/>
      <c r="K392" s="487"/>
      <c r="L392" s="487"/>
      <c r="M392" s="37">
        <f>SUM(F392:L392)</f>
        <v>0</v>
      </c>
      <c r="N392" s="3159"/>
    </row>
    <row r="393" spans="1:17" ht="15.75" hidden="1" customHeight="1">
      <c r="A393" s="3135"/>
      <c r="B393" s="21" t="s">
        <v>22</v>
      </c>
      <c r="C393" s="22"/>
      <c r="D393" s="503">
        <f>+D396+D394</f>
        <v>0</v>
      </c>
      <c r="E393" s="503">
        <v>0</v>
      </c>
      <c r="F393" s="503"/>
      <c r="G393" s="503"/>
      <c r="H393" s="503"/>
      <c r="I393" s="503"/>
      <c r="J393" s="503"/>
      <c r="K393" s="503"/>
      <c r="L393" s="503"/>
      <c r="M393" s="3177" t="s">
        <v>23</v>
      </c>
      <c r="N393" s="3159"/>
    </row>
    <row r="394" spans="1:17" ht="12.75" hidden="1" customHeight="1">
      <c r="A394" s="3135"/>
      <c r="B394" s="556" t="s">
        <v>24</v>
      </c>
      <c r="C394" s="3178" t="s">
        <v>475</v>
      </c>
      <c r="D394" s="1269">
        <f>D395</f>
        <v>0</v>
      </c>
      <c r="E394" s="1269">
        <v>0</v>
      </c>
      <c r="F394" s="1269"/>
      <c r="G394" s="1269"/>
      <c r="H394" s="1269"/>
      <c r="I394" s="1269"/>
      <c r="J394" s="1269"/>
      <c r="K394" s="1269"/>
      <c r="L394" s="1269"/>
      <c r="M394" s="3162"/>
      <c r="N394" s="3159"/>
    </row>
    <row r="395" spans="1:17" ht="12.75" hidden="1" customHeight="1">
      <c r="A395" s="3135"/>
      <c r="B395" s="738" t="s">
        <v>108</v>
      </c>
      <c r="C395" s="3149"/>
      <c r="D395" s="280">
        <f>E395+F395+G395+H395+I395+J395+K395+L395</f>
        <v>0</v>
      </c>
      <c r="E395" s="576">
        <v>0</v>
      </c>
      <c r="F395" s="1269"/>
      <c r="G395" s="1269"/>
      <c r="H395" s="1269"/>
      <c r="I395" s="1269"/>
      <c r="J395" s="1269"/>
      <c r="K395" s="1269"/>
      <c r="L395" s="1269"/>
      <c r="M395" s="3162"/>
      <c r="N395" s="3159"/>
    </row>
    <row r="396" spans="1:17" s="298" customFormat="1" ht="16.5" hidden="1" customHeight="1">
      <c r="A396" s="3135"/>
      <c r="B396" s="577" t="s">
        <v>18</v>
      </c>
      <c r="C396" s="3149"/>
      <c r="D396" s="603">
        <f>+D397</f>
        <v>0</v>
      </c>
      <c r="E396" s="603">
        <v>0</v>
      </c>
      <c r="F396" s="604"/>
      <c r="G396" s="604"/>
      <c r="H396" s="604"/>
      <c r="I396" s="604"/>
      <c r="J396" s="604"/>
      <c r="K396" s="604"/>
      <c r="L396" s="604"/>
      <c r="M396" s="3162"/>
      <c r="N396" s="3159"/>
    </row>
    <row r="397" spans="1:17" s="298" customFormat="1" ht="17.25" hidden="1" customHeight="1" thickBot="1">
      <c r="A397" s="3136"/>
      <c r="B397" s="411" t="s">
        <v>21</v>
      </c>
      <c r="C397" s="3137"/>
      <c r="D397" s="280">
        <f>E397+F397+G397+H397+I397+J397+K397+L397</f>
        <v>0</v>
      </c>
      <c r="E397" s="1331">
        <v>0</v>
      </c>
      <c r="F397" s="607"/>
      <c r="G397" s="607"/>
      <c r="H397" s="607"/>
      <c r="I397" s="607"/>
      <c r="J397" s="607"/>
      <c r="K397" s="607"/>
      <c r="L397" s="607"/>
      <c r="M397" s="3163"/>
      <c r="N397" s="3160"/>
    </row>
    <row r="398" spans="1:17" ht="29.25" hidden="1" customHeight="1">
      <c r="A398" s="3133"/>
      <c r="B398" s="82" t="s">
        <v>500</v>
      </c>
      <c r="C398" s="64" t="s">
        <v>81</v>
      </c>
      <c r="D398" s="1187"/>
      <c r="E398" s="509"/>
      <c r="F398" s="509"/>
      <c r="G398" s="509"/>
      <c r="H398" s="509"/>
      <c r="I398" s="509"/>
      <c r="J398" s="45"/>
      <c r="K398" s="45"/>
      <c r="L398" s="45"/>
      <c r="M398" s="46"/>
      <c r="N398" s="3175" t="s">
        <v>104</v>
      </c>
      <c r="O398" s="262" t="s">
        <v>344</v>
      </c>
    </row>
    <row r="399" spans="1:17" ht="13.5" hidden="1" customHeight="1">
      <c r="A399" s="3134"/>
      <c r="B399" s="830" t="s">
        <v>10</v>
      </c>
      <c r="C399" s="1105"/>
      <c r="D399" s="982">
        <f t="shared" ref="D399" si="203">+D400+D403</f>
        <v>0</v>
      </c>
      <c r="E399" s="1010">
        <v>0</v>
      </c>
      <c r="F399" s="983">
        <f>+F400+F403</f>
        <v>0</v>
      </c>
      <c r="G399" s="983"/>
      <c r="H399" s="983"/>
      <c r="I399" s="983"/>
      <c r="J399" s="983"/>
      <c r="K399" s="983"/>
      <c r="L399" s="983"/>
      <c r="M399" s="1358">
        <f>M400+M403</f>
        <v>0</v>
      </c>
      <c r="N399" s="3159"/>
      <c r="O399" s="563"/>
    </row>
    <row r="400" spans="1:17" ht="14.25" hidden="1" customHeight="1">
      <c r="A400" s="3134"/>
      <c r="B400" s="1797" t="s">
        <v>24</v>
      </c>
      <c r="C400" s="3106" t="s">
        <v>100</v>
      </c>
      <c r="D400" s="1281">
        <f t="shared" ref="D400" si="204">+D401+D402</f>
        <v>0</v>
      </c>
      <c r="E400" s="851">
        <v>0</v>
      </c>
      <c r="F400" s="1281">
        <f>+F401+F402</f>
        <v>0</v>
      </c>
      <c r="G400" s="1281"/>
      <c r="H400" s="1281"/>
      <c r="I400" s="1281"/>
      <c r="J400" s="1281"/>
      <c r="K400" s="1281"/>
      <c r="L400" s="1281"/>
      <c r="M400" s="804">
        <f>+M401+M402</f>
        <v>0</v>
      </c>
      <c r="N400" s="3159"/>
      <c r="O400" s="563"/>
    </row>
    <row r="401" spans="1:16" ht="12.75" hidden="1" customHeight="1">
      <c r="A401" s="3134"/>
      <c r="B401" s="1798" t="s">
        <v>12</v>
      </c>
      <c r="C401" s="3147"/>
      <c r="D401" s="1345">
        <f>SUM(E401:L401)</f>
        <v>0</v>
      </c>
      <c r="E401" s="842"/>
      <c r="F401" s="999"/>
      <c r="G401" s="999"/>
      <c r="H401" s="999"/>
      <c r="I401" s="999"/>
      <c r="J401" s="999"/>
      <c r="K401" s="999"/>
      <c r="L401" s="999"/>
      <c r="M401" s="1799"/>
      <c r="N401" s="3159"/>
    </row>
    <row r="402" spans="1:16" ht="11.25" hidden="1" customHeight="1">
      <c r="A402" s="3134"/>
      <c r="B402" s="738" t="s">
        <v>108</v>
      </c>
      <c r="C402" s="3147"/>
      <c r="D402" s="280">
        <f>E402+F402+G402+H402+I402+J402+K402+L402</f>
        <v>0</v>
      </c>
      <c r="E402" s="842">
        <v>0</v>
      </c>
      <c r="F402" s="1002">
        <f>5400000-5400000</f>
        <v>0</v>
      </c>
      <c r="G402" s="999"/>
      <c r="H402" s="999"/>
      <c r="I402" s="1002"/>
      <c r="J402" s="999"/>
      <c r="K402" s="999"/>
      <c r="L402" s="999"/>
      <c r="M402" s="1381">
        <f>SUM(F402:L402)</f>
        <v>0</v>
      </c>
      <c r="N402" s="3159"/>
    </row>
    <row r="403" spans="1:16" ht="11.25" hidden="1" customHeight="1">
      <c r="A403" s="3134"/>
      <c r="B403" s="1800" t="s">
        <v>18</v>
      </c>
      <c r="C403" s="3147"/>
      <c r="D403" s="808">
        <f t="shared" ref="D403:F403" si="205">+D404</f>
        <v>0</v>
      </c>
      <c r="E403" s="1392">
        <v>0</v>
      </c>
      <c r="F403" s="1364">
        <f t="shared" si="205"/>
        <v>0</v>
      </c>
      <c r="G403" s="1364"/>
      <c r="H403" s="1364"/>
      <c r="I403" s="1364"/>
      <c r="J403" s="1364"/>
      <c r="K403" s="1364"/>
      <c r="L403" s="1364"/>
      <c r="M403" s="804">
        <f>M404</f>
        <v>0</v>
      </c>
      <c r="N403" s="3159"/>
    </row>
    <row r="404" spans="1:16" ht="13.5" hidden="1" customHeight="1">
      <c r="A404" s="3134"/>
      <c r="B404" s="1801" t="s">
        <v>21</v>
      </c>
      <c r="C404" s="3148"/>
      <c r="D404" s="280">
        <f>E404+F404+G404+H404+I404+J404+K404+L404</f>
        <v>0</v>
      </c>
      <c r="E404" s="842">
        <v>0</v>
      </c>
      <c r="F404" s="999">
        <f>30600000-30600000</f>
        <v>0</v>
      </c>
      <c r="G404" s="999"/>
      <c r="H404" s="998"/>
      <c r="I404" s="999"/>
      <c r="J404" s="998"/>
      <c r="K404" s="998"/>
      <c r="L404" s="998"/>
      <c r="M404" s="1381">
        <f>SUM(F404:L404)</f>
        <v>0</v>
      </c>
      <c r="N404" s="3159"/>
    </row>
    <row r="405" spans="1:16" ht="13.5" hidden="1" customHeight="1">
      <c r="A405" s="3135"/>
      <c r="B405" s="1802" t="s">
        <v>22</v>
      </c>
      <c r="C405" s="101"/>
      <c r="D405" s="116">
        <f>+D408+D406</f>
        <v>0</v>
      </c>
      <c r="E405" s="1268">
        <v>0</v>
      </c>
      <c r="F405" s="116">
        <f t="shared" ref="F405" si="206">+F408+F406</f>
        <v>0</v>
      </c>
      <c r="G405" s="116"/>
      <c r="H405" s="116"/>
      <c r="I405" s="116"/>
      <c r="J405" s="116"/>
      <c r="K405" s="116"/>
      <c r="L405" s="116"/>
      <c r="M405" s="3187" t="s">
        <v>23</v>
      </c>
      <c r="N405" s="3159"/>
    </row>
    <row r="406" spans="1:16" ht="13.5" hidden="1" customHeight="1">
      <c r="A406" s="3135"/>
      <c r="B406" s="1388" t="s">
        <v>24</v>
      </c>
      <c r="C406" s="3106" t="s">
        <v>341</v>
      </c>
      <c r="D406" s="1184">
        <f>D407</f>
        <v>0</v>
      </c>
      <c r="E406" s="1803">
        <v>0</v>
      </c>
      <c r="F406" s="1184">
        <f t="shared" ref="F406" si="207">F407</f>
        <v>0</v>
      </c>
      <c r="G406" s="1184"/>
      <c r="H406" s="1184"/>
      <c r="I406" s="1184"/>
      <c r="J406" s="1184"/>
      <c r="K406" s="1184"/>
      <c r="L406" s="1184"/>
      <c r="M406" s="3122"/>
      <c r="N406" s="3159"/>
    </row>
    <row r="407" spans="1:16" ht="13.5" hidden="1" customHeight="1">
      <c r="A407" s="3135"/>
      <c r="B407" s="738" t="s">
        <v>108</v>
      </c>
      <c r="C407" s="3149"/>
      <c r="D407" s="280">
        <f>E407+F407+G407+H407+I407+J407+K407+L407</f>
        <v>0</v>
      </c>
      <c r="E407" s="842">
        <v>0</v>
      </c>
      <c r="F407" s="1804">
        <v>0</v>
      </c>
      <c r="G407" s="1184"/>
      <c r="H407" s="1804"/>
      <c r="I407" s="1804"/>
      <c r="J407" s="1184"/>
      <c r="K407" s="1184"/>
      <c r="L407" s="1184"/>
      <c r="M407" s="3122"/>
      <c r="N407" s="3159"/>
    </row>
    <row r="408" spans="1:16" ht="12" hidden="1" customHeight="1">
      <c r="A408" s="3135"/>
      <c r="B408" s="843" t="s">
        <v>18</v>
      </c>
      <c r="C408" s="3149"/>
      <c r="D408" s="808">
        <f>+D409</f>
        <v>0</v>
      </c>
      <c r="E408" s="1392">
        <v>0</v>
      </c>
      <c r="F408" s="1364">
        <f t="shared" ref="F408" si="208">+F409</f>
        <v>0</v>
      </c>
      <c r="G408" s="1364"/>
      <c r="H408" s="1364"/>
      <c r="I408" s="1364"/>
      <c r="J408" s="1364"/>
      <c r="K408" s="1364"/>
      <c r="L408" s="1364"/>
      <c r="M408" s="3122"/>
      <c r="N408" s="3159"/>
    </row>
    <row r="409" spans="1:16" ht="13.5" hidden="1" customHeight="1" thickBot="1">
      <c r="A409" s="3136"/>
      <c r="B409" s="1389" t="s">
        <v>21</v>
      </c>
      <c r="C409" s="3137"/>
      <c r="D409" s="280">
        <f>E409+F409+G409+H409+I409+J409+K409+L409</f>
        <v>0</v>
      </c>
      <c r="E409" s="845">
        <v>0</v>
      </c>
      <c r="F409" s="63">
        <f>30600000-30600000</f>
        <v>0</v>
      </c>
      <c r="G409" s="63"/>
      <c r="H409" s="63"/>
      <c r="I409" s="63"/>
      <c r="J409" s="63"/>
      <c r="K409" s="63"/>
      <c r="L409" s="63"/>
      <c r="M409" s="3123"/>
      <c r="N409" s="3160"/>
    </row>
    <row r="410" spans="1:16" ht="29.25" customHeight="1">
      <c r="A410" s="3133" t="s">
        <v>101</v>
      </c>
      <c r="B410" s="82" t="s">
        <v>501</v>
      </c>
      <c r="C410" s="64" t="s">
        <v>81</v>
      </c>
      <c r="D410" s="2036"/>
      <c r="E410" s="106"/>
      <c r="F410" s="107"/>
      <c r="G410" s="107"/>
      <c r="H410" s="107"/>
      <c r="I410" s="107"/>
      <c r="J410" s="107"/>
      <c r="K410" s="107"/>
      <c r="L410" s="107"/>
      <c r="M410" s="46"/>
      <c r="N410" s="3175" t="s">
        <v>104</v>
      </c>
      <c r="O410" s="262" t="s">
        <v>344</v>
      </c>
    </row>
    <row r="411" spans="1:16" ht="13.5" customHeight="1">
      <c r="A411" s="3134"/>
      <c r="B411" s="2037" t="s">
        <v>10</v>
      </c>
      <c r="C411" s="22"/>
      <c r="D411" s="2038">
        <f t="shared" ref="D411" si="209">+D412+D416</f>
        <v>326610000</v>
      </c>
      <c r="E411" s="2040">
        <f t="shared" ref="E411" si="210">+E412+E416</f>
        <v>0</v>
      </c>
      <c r="F411" s="2039">
        <f>+F412+F416</f>
        <v>142545000</v>
      </c>
      <c r="G411" s="2039">
        <f>+G412+G416</f>
        <v>184065000</v>
      </c>
      <c r="H411" s="1973">
        <f>+H412+H416</f>
        <v>0</v>
      </c>
      <c r="I411" s="1973">
        <f>+I412+I416</f>
        <v>0</v>
      </c>
      <c r="J411" s="2039"/>
      <c r="K411" s="2039"/>
      <c r="L411" s="2039"/>
      <c r="M411" s="647">
        <f>+M412+M416</f>
        <v>326610000</v>
      </c>
      <c r="N411" s="3159"/>
      <c r="P411" s="563"/>
    </row>
    <row r="412" spans="1:16" ht="13.5" customHeight="1">
      <c r="A412" s="3134"/>
      <c r="B412" s="2041" t="s">
        <v>24</v>
      </c>
      <c r="C412" s="3106" t="s">
        <v>100</v>
      </c>
      <c r="D412" s="2042">
        <f>+D413+D415+D414</f>
        <v>48991500</v>
      </c>
      <c r="E412" s="2042">
        <f t="shared" ref="E412" si="211">+E413+E415+E414</f>
        <v>0</v>
      </c>
      <c r="F412" s="2042">
        <f t="shared" ref="F412:G412" si="212">+F413+F415+F414</f>
        <v>21381750</v>
      </c>
      <c r="G412" s="2042">
        <f t="shared" si="212"/>
        <v>27609750</v>
      </c>
      <c r="H412" s="2043">
        <f>+H413+H415+H414</f>
        <v>0</v>
      </c>
      <c r="I412" s="2043">
        <f>+I413+I415+I414</f>
        <v>0</v>
      </c>
      <c r="J412" s="2042"/>
      <c r="K412" s="2042"/>
      <c r="L412" s="2042"/>
      <c r="M412" s="735">
        <f>+M413+M415+M414</f>
        <v>48991500</v>
      </c>
      <c r="N412" s="3159"/>
      <c r="P412" s="563"/>
    </row>
    <row r="413" spans="1:16" ht="12.75" customHeight="1">
      <c r="A413" s="3134"/>
      <c r="B413" s="1175" t="s">
        <v>12</v>
      </c>
      <c r="C413" s="3147"/>
      <c r="D413" s="280">
        <f>E413+F413+G413+H413+I413+J413+K413+L413</f>
        <v>48991500</v>
      </c>
      <c r="E413" s="321">
        <v>0</v>
      </c>
      <c r="F413" s="635">
        <v>21381750</v>
      </c>
      <c r="G413" s="2047">
        <v>27609750</v>
      </c>
      <c r="H413" s="2046">
        <v>0</v>
      </c>
      <c r="I413" s="2045">
        <v>0</v>
      </c>
      <c r="J413" s="635"/>
      <c r="K413" s="635"/>
      <c r="L413" s="635"/>
      <c r="M413" s="736">
        <f>SUM(F413:I413)</f>
        <v>48991500</v>
      </c>
      <c r="N413" s="3159"/>
    </row>
    <row r="414" spans="1:16" ht="12.75" hidden="1" customHeight="1">
      <c r="A414" s="3134"/>
      <c r="B414" s="738" t="s">
        <v>108</v>
      </c>
      <c r="C414" s="3147"/>
      <c r="D414" s="280">
        <f>E414+F414+G414+H414+I414+J414+K414+L414</f>
        <v>0</v>
      </c>
      <c r="E414" s="1267">
        <v>0</v>
      </c>
      <c r="F414" s="737">
        <f>15546856-2076856-13470000</f>
        <v>0</v>
      </c>
      <c r="G414" s="2050">
        <f>8419285+6619715-15039000</f>
        <v>0</v>
      </c>
      <c r="H414" s="2049">
        <v>0</v>
      </c>
      <c r="I414" s="2048">
        <f>2076000-2076000</f>
        <v>0</v>
      </c>
      <c r="J414" s="737"/>
      <c r="K414" s="737"/>
      <c r="L414" s="737"/>
      <c r="M414" s="37">
        <f>SUM(F414:L414)</f>
        <v>0</v>
      </c>
      <c r="N414" s="3159"/>
    </row>
    <row r="415" spans="1:16" ht="13.5" hidden="1" customHeight="1">
      <c r="A415" s="3134"/>
      <c r="B415" s="103" t="s">
        <v>15</v>
      </c>
      <c r="C415" s="3147"/>
      <c r="D415" s="2044">
        <f>SUM(E415:I415)</f>
        <v>0</v>
      </c>
      <c r="E415" s="2784"/>
      <c r="F415" s="737">
        <v>0</v>
      </c>
      <c r="G415" s="737">
        <v>0</v>
      </c>
      <c r="H415" s="2049"/>
      <c r="I415" s="2049"/>
      <c r="J415" s="737"/>
      <c r="K415" s="737"/>
      <c r="L415" s="737"/>
      <c r="M415" s="76"/>
      <c r="N415" s="3159"/>
    </row>
    <row r="416" spans="1:16" ht="13.5" customHeight="1">
      <c r="A416" s="3134"/>
      <c r="B416" s="2051" t="s">
        <v>18</v>
      </c>
      <c r="C416" s="3147"/>
      <c r="D416" s="2052">
        <f>+D417</f>
        <v>277618500</v>
      </c>
      <c r="E416" s="2053">
        <f t="shared" ref="E416:M416" si="213">+E417</f>
        <v>0</v>
      </c>
      <c r="F416" s="2053">
        <f t="shared" si="213"/>
        <v>121163250</v>
      </c>
      <c r="G416" s="2053">
        <f t="shared" si="213"/>
        <v>156455250</v>
      </c>
      <c r="H416" s="2054">
        <f t="shared" si="213"/>
        <v>0</v>
      </c>
      <c r="I416" s="2054">
        <f t="shared" si="213"/>
        <v>0</v>
      </c>
      <c r="J416" s="2053"/>
      <c r="K416" s="2053"/>
      <c r="L416" s="2053"/>
      <c r="M416" s="735">
        <f t="shared" si="213"/>
        <v>277618500</v>
      </c>
      <c r="N416" s="3159"/>
    </row>
    <row r="417" spans="1:16" ht="13.5" customHeight="1">
      <c r="A417" s="3134"/>
      <c r="B417" s="844" t="s">
        <v>21</v>
      </c>
      <c r="C417" s="3148"/>
      <c r="D417" s="280">
        <f>E417+F417+G417+H417+I417+J417+K417+L417</f>
        <v>277618500</v>
      </c>
      <c r="E417" s="321">
        <v>0</v>
      </c>
      <c r="F417" s="737">
        <f>112200000-35870000+44833250</f>
        <v>121163250</v>
      </c>
      <c r="G417" s="737">
        <f>96900000-11679000+71234250</f>
        <v>156455250</v>
      </c>
      <c r="H417" s="2049">
        <v>0</v>
      </c>
      <c r="I417" s="2049">
        <f>11764000-11764000</f>
        <v>0</v>
      </c>
      <c r="J417" s="737"/>
      <c r="K417" s="737"/>
      <c r="L417" s="737"/>
      <c r="M417" s="37">
        <f>SUM(F417:L417)</f>
        <v>277618500</v>
      </c>
      <c r="N417" s="3159"/>
    </row>
    <row r="418" spans="1:16" ht="16.5" customHeight="1">
      <c r="A418" s="3135"/>
      <c r="B418" s="2037" t="s">
        <v>22</v>
      </c>
      <c r="C418" s="22"/>
      <c r="D418" s="1178">
        <f>+D419+D422</f>
        <v>277618500</v>
      </c>
      <c r="E418" s="652">
        <f t="shared" ref="E418" si="214">+E419+E422</f>
        <v>0</v>
      </c>
      <c r="F418" s="652">
        <f t="shared" ref="F418:I418" si="215">+F419+F422</f>
        <v>121163250</v>
      </c>
      <c r="G418" s="652">
        <f t="shared" si="215"/>
        <v>156455250</v>
      </c>
      <c r="H418" s="2055">
        <f t="shared" si="215"/>
        <v>0</v>
      </c>
      <c r="I418" s="2055">
        <f t="shared" si="215"/>
        <v>0</v>
      </c>
      <c r="J418" s="652"/>
      <c r="K418" s="652"/>
      <c r="L418" s="652"/>
      <c r="M418" s="2056"/>
      <c r="N418" s="3159"/>
    </row>
    <row r="419" spans="1:16" hidden="1">
      <c r="A419" s="3135"/>
      <c r="B419" s="2041" t="s">
        <v>24</v>
      </c>
      <c r="C419" s="3172" t="s">
        <v>475</v>
      </c>
      <c r="D419" s="57">
        <f>+D421+D420</f>
        <v>0</v>
      </c>
      <c r="E419" s="57">
        <f t="shared" ref="E419" si="216">+E421+E420</f>
        <v>0</v>
      </c>
      <c r="F419" s="57">
        <f t="shared" ref="F419" si="217">+F421+F420</f>
        <v>0</v>
      </c>
      <c r="G419" s="57">
        <f t="shared" ref="G419" si="218">+G421+G420</f>
        <v>0</v>
      </c>
      <c r="H419" s="301">
        <f>+H421+H420</f>
        <v>0</v>
      </c>
      <c r="I419" s="301">
        <f>+I421+I420</f>
        <v>0</v>
      </c>
      <c r="J419" s="57"/>
      <c r="K419" s="57"/>
      <c r="L419" s="57"/>
      <c r="M419" s="3001"/>
      <c r="N419" s="3159"/>
    </row>
    <row r="420" spans="1:16" ht="13.5" hidden="1" customHeight="1">
      <c r="A420" s="3135"/>
      <c r="B420" s="738" t="s">
        <v>108</v>
      </c>
      <c r="C420" s="3251"/>
      <c r="D420" s="280">
        <f>E420+F420+G420+H420+I420+J420+K420+L420</f>
        <v>0</v>
      </c>
      <c r="E420" s="57"/>
      <c r="F420" s="2057">
        <f>8419285-8419285</f>
        <v>0</v>
      </c>
      <c r="G420" s="2057">
        <f>8419285-8419285</f>
        <v>0</v>
      </c>
      <c r="H420" s="2058">
        <v>0</v>
      </c>
      <c r="I420" s="301">
        <v>0</v>
      </c>
      <c r="J420" s="57"/>
      <c r="K420" s="57"/>
      <c r="L420" s="57"/>
      <c r="M420" s="3001"/>
      <c r="N420" s="3159"/>
    </row>
    <row r="421" spans="1:16" ht="12.75" hidden="1" customHeight="1">
      <c r="A421" s="3135"/>
      <c r="B421" s="103" t="s">
        <v>15</v>
      </c>
      <c r="C421" s="3173"/>
      <c r="D421" s="2044">
        <f>SUM(E421:I421)</f>
        <v>0</v>
      </c>
      <c r="E421" s="2059">
        <v>0</v>
      </c>
      <c r="F421" s="109"/>
      <c r="G421" s="109"/>
      <c r="H421" s="2060"/>
      <c r="I421" s="2060"/>
      <c r="J421" s="109"/>
      <c r="K421" s="109"/>
      <c r="L421" s="109"/>
      <c r="M421" s="3001"/>
      <c r="N421" s="3159"/>
    </row>
    <row r="422" spans="1:16" ht="18" customHeight="1">
      <c r="A422" s="3135"/>
      <c r="B422" s="2051" t="s">
        <v>18</v>
      </c>
      <c r="C422" s="3173"/>
      <c r="D422" s="2052">
        <f t="shared" ref="D422:I422" si="219">+D423</f>
        <v>277618500</v>
      </c>
      <c r="E422" s="2053">
        <f t="shared" si="219"/>
        <v>0</v>
      </c>
      <c r="F422" s="2053">
        <f t="shared" si="219"/>
        <v>121163250</v>
      </c>
      <c r="G422" s="2053">
        <f t="shared" si="219"/>
        <v>156455250</v>
      </c>
      <c r="H422" s="2054">
        <f t="shared" si="219"/>
        <v>0</v>
      </c>
      <c r="I422" s="2054">
        <f t="shared" si="219"/>
        <v>0</v>
      </c>
      <c r="J422" s="2053"/>
      <c r="K422" s="2053"/>
      <c r="L422" s="2053"/>
      <c r="M422" s="3001"/>
      <c r="N422" s="3159"/>
    </row>
    <row r="423" spans="1:16" ht="15.75" customHeight="1" thickBot="1">
      <c r="A423" s="3136"/>
      <c r="B423" s="79" t="s">
        <v>21</v>
      </c>
      <c r="C423" s="3174"/>
      <c r="D423" s="280">
        <f>E423+F423+G423+H423+I423+J423+K423+L423</f>
        <v>277618500</v>
      </c>
      <c r="E423" s="321">
        <v>0</v>
      </c>
      <c r="F423" s="63">
        <f>112200000-35870000+44833250</f>
        <v>121163250</v>
      </c>
      <c r="G423" s="63">
        <f>96900000-11679000+71234250</f>
        <v>156455250</v>
      </c>
      <c r="H423" s="508">
        <v>0</v>
      </c>
      <c r="I423" s="508">
        <f>11764000-11764000</f>
        <v>0</v>
      </c>
      <c r="J423" s="63"/>
      <c r="K423" s="63"/>
      <c r="L423" s="63"/>
      <c r="M423" s="3002"/>
      <c r="N423" s="3160"/>
    </row>
    <row r="424" spans="1:16" ht="17.25" customHeight="1">
      <c r="A424" s="3179" t="s">
        <v>252</v>
      </c>
      <c r="B424" s="130" t="s">
        <v>266</v>
      </c>
      <c r="C424" s="1270"/>
      <c r="D424" s="131"/>
      <c r="E424" s="132"/>
      <c r="F424" s="132">
        <f>+F425-F431</f>
        <v>12043399</v>
      </c>
      <c r="G424" s="132"/>
      <c r="H424" s="132"/>
      <c r="I424" s="132"/>
      <c r="J424" s="342"/>
      <c r="K424" s="343"/>
      <c r="L424" s="343"/>
      <c r="M424" s="133"/>
      <c r="N424" s="3164"/>
    </row>
    <row r="425" spans="1:16" s="1272" customFormat="1" ht="14.25" customHeight="1">
      <c r="A425" s="3180"/>
      <c r="B425" s="1410" t="s">
        <v>10</v>
      </c>
      <c r="C425" s="101"/>
      <c r="D425" s="134">
        <f>+D426+D429</f>
        <v>45543858</v>
      </c>
      <c r="E425" s="134">
        <v>837839</v>
      </c>
      <c r="F425" s="134">
        <f t="shared" ref="F425:M425" si="220">+F426+F429</f>
        <v>12071879</v>
      </c>
      <c r="G425" s="134">
        <f t="shared" si="220"/>
        <v>24662032</v>
      </c>
      <c r="H425" s="134">
        <f t="shared" si="220"/>
        <v>7889936</v>
      </c>
      <c r="I425" s="134">
        <f t="shared" si="220"/>
        <v>82172</v>
      </c>
      <c r="J425" s="134">
        <f t="shared" si="220"/>
        <v>0</v>
      </c>
      <c r="K425" s="134">
        <f t="shared" si="220"/>
        <v>0</v>
      </c>
      <c r="L425" s="134">
        <f t="shared" si="220"/>
        <v>0</v>
      </c>
      <c r="M425" s="1355">
        <f t="shared" si="220"/>
        <v>44706019</v>
      </c>
      <c r="N425" s="3165"/>
      <c r="O425" s="563"/>
      <c r="P425" s="1271"/>
    </row>
    <row r="426" spans="1:16" s="1273" customFormat="1" ht="13.5" customHeight="1">
      <c r="A426" s="3180"/>
      <c r="B426" s="135" t="s">
        <v>11</v>
      </c>
      <c r="C426" s="136"/>
      <c r="D426" s="1413">
        <f>+D427+D428</f>
        <v>12221602</v>
      </c>
      <c r="E426" s="1413">
        <v>509267</v>
      </c>
      <c r="F426" s="1413">
        <f t="shared" ref="F426:L426" si="221">+F427</f>
        <v>4035901</v>
      </c>
      <c r="G426" s="1413">
        <f t="shared" si="221"/>
        <v>5800215</v>
      </c>
      <c r="H426" s="1413">
        <f t="shared" si="221"/>
        <v>1863553</v>
      </c>
      <c r="I426" s="1413">
        <f t="shared" si="221"/>
        <v>12666</v>
      </c>
      <c r="J426" s="1413">
        <f t="shared" si="221"/>
        <v>0</v>
      </c>
      <c r="K426" s="1413">
        <f t="shared" si="221"/>
        <v>0</v>
      </c>
      <c r="L426" s="1413">
        <f t="shared" si="221"/>
        <v>0</v>
      </c>
      <c r="M426" s="804">
        <f>+M427</f>
        <v>11712335</v>
      </c>
      <c r="N426" s="3165"/>
      <c r="P426" s="1271"/>
    </row>
    <row r="427" spans="1:16" s="1272" customFormat="1" ht="11.25" customHeight="1">
      <c r="A427" s="3180"/>
      <c r="B427" s="39" t="s">
        <v>12</v>
      </c>
      <c r="C427" s="40"/>
      <c r="D427" s="1414">
        <f>+D439+D449+D506++D458+D470+D479+D488+D497+D521</f>
        <v>12164599</v>
      </c>
      <c r="E427" s="1414">
        <v>452264</v>
      </c>
      <c r="F427" s="1414">
        <f t="shared" ref="F427:J427" si="222">+F439+F449+F506++F458+F470+F479+F488+F497+F521</f>
        <v>4035901</v>
      </c>
      <c r="G427" s="1414">
        <f t="shared" si="222"/>
        <v>5800215</v>
      </c>
      <c r="H427" s="1414">
        <f t="shared" si="222"/>
        <v>1863553</v>
      </c>
      <c r="I427" s="1414">
        <f t="shared" si="222"/>
        <v>12666</v>
      </c>
      <c r="J427" s="1414">
        <f t="shared" si="222"/>
        <v>0</v>
      </c>
      <c r="K427" s="1414">
        <f t="shared" ref="K427:L427" si="223">+K439+K449+K506++K458+K470+K479+K488+K497</f>
        <v>0</v>
      </c>
      <c r="L427" s="1414">
        <f t="shared" si="223"/>
        <v>0</v>
      </c>
      <c r="M427" s="1381">
        <f>SUM(F427:L427)</f>
        <v>11712335</v>
      </c>
      <c r="N427" s="3165"/>
      <c r="O427" s="1271"/>
      <c r="P427" s="1271"/>
    </row>
    <row r="428" spans="1:16" s="1272" customFormat="1" ht="11.25" customHeight="1">
      <c r="A428" s="3180"/>
      <c r="B428" s="39" t="s">
        <v>15</v>
      </c>
      <c r="C428" s="40"/>
      <c r="D428" s="1414">
        <f>+D459</f>
        <v>57003</v>
      </c>
      <c r="E428" s="1414">
        <v>57003</v>
      </c>
      <c r="F428" s="1414">
        <f t="shared" ref="F428:L428" si="224">+F459</f>
        <v>0</v>
      </c>
      <c r="G428" s="1414">
        <f t="shared" si="224"/>
        <v>0</v>
      </c>
      <c r="H428" s="1414">
        <f t="shared" si="224"/>
        <v>0</v>
      </c>
      <c r="I428" s="1414">
        <f t="shared" si="224"/>
        <v>0</v>
      </c>
      <c r="J428" s="1414">
        <f t="shared" si="224"/>
        <v>0</v>
      </c>
      <c r="K428" s="1414">
        <f t="shared" si="224"/>
        <v>0</v>
      </c>
      <c r="L428" s="1414">
        <f t="shared" si="224"/>
        <v>0</v>
      </c>
      <c r="M428" s="1381">
        <f>SUM(F428:L428)</f>
        <v>0</v>
      </c>
      <c r="N428" s="3165"/>
      <c r="O428" s="1271"/>
      <c r="P428" s="1271"/>
    </row>
    <row r="429" spans="1:16" s="1273" customFormat="1" ht="13.5" customHeight="1">
      <c r="A429" s="3180"/>
      <c r="B429" s="1415" t="s">
        <v>102</v>
      </c>
      <c r="C429" s="1416"/>
      <c r="D429" s="1417">
        <f>+D430</f>
        <v>33322256</v>
      </c>
      <c r="E429" s="1417">
        <v>328572</v>
      </c>
      <c r="F429" s="1417">
        <f t="shared" ref="F429:L429" si="225">+F430</f>
        <v>8035978</v>
      </c>
      <c r="G429" s="1417">
        <f t="shared" si="225"/>
        <v>18861817</v>
      </c>
      <c r="H429" s="1417">
        <f t="shared" si="225"/>
        <v>6026383</v>
      </c>
      <c r="I429" s="1417">
        <f t="shared" si="225"/>
        <v>69506</v>
      </c>
      <c r="J429" s="1417">
        <f t="shared" si="225"/>
        <v>0</v>
      </c>
      <c r="K429" s="1417">
        <f t="shared" si="225"/>
        <v>0</v>
      </c>
      <c r="L429" s="1417">
        <f t="shared" si="225"/>
        <v>0</v>
      </c>
      <c r="M429" s="804">
        <f>+M430</f>
        <v>32993684</v>
      </c>
      <c r="N429" s="3165"/>
      <c r="P429" s="1271"/>
    </row>
    <row r="430" spans="1:16" s="1272" customFormat="1" ht="12.75" customHeight="1">
      <c r="A430" s="3180"/>
      <c r="B430" s="39" t="s">
        <v>20</v>
      </c>
      <c r="C430" s="40"/>
      <c r="D430" s="1414">
        <f>+D441+D451+D511+D461+D472+D481+D490+D499+D526</f>
        <v>33322256</v>
      </c>
      <c r="E430" s="1414">
        <v>328572</v>
      </c>
      <c r="F430" s="1414">
        <f t="shared" ref="F430:K430" si="226">+F441+F451+F511+F461+F472+F481+F490+F499+F526</f>
        <v>8035978</v>
      </c>
      <c r="G430" s="1414">
        <f t="shared" si="226"/>
        <v>18861817</v>
      </c>
      <c r="H430" s="1414">
        <f t="shared" si="226"/>
        <v>6026383</v>
      </c>
      <c r="I430" s="1414">
        <f t="shared" si="226"/>
        <v>69506</v>
      </c>
      <c r="J430" s="1414">
        <f t="shared" si="226"/>
        <v>0</v>
      </c>
      <c r="K430" s="1414">
        <f t="shared" si="226"/>
        <v>0</v>
      </c>
      <c r="L430" s="1414">
        <f t="shared" ref="L430" si="227">+L441+L451+L511+L461+L472+L481+L490+L499</f>
        <v>0</v>
      </c>
      <c r="M430" s="1381">
        <f>SUM(F430:L430)</f>
        <v>32993684</v>
      </c>
      <c r="N430" s="3165"/>
      <c r="O430" s="1271"/>
      <c r="P430" s="1271"/>
    </row>
    <row r="431" spans="1:16" s="1272" customFormat="1" ht="12" customHeight="1">
      <c r="A431" s="3181"/>
      <c r="B431" s="826" t="s">
        <v>22</v>
      </c>
      <c r="C431" s="1105"/>
      <c r="D431" s="1379">
        <f>+D434+D432</f>
        <v>33379259</v>
      </c>
      <c r="E431" s="1379">
        <v>57003</v>
      </c>
      <c r="F431" s="1379">
        <f t="shared" ref="F431:L431" si="228">+F434+F432</f>
        <v>28480</v>
      </c>
      <c r="G431" s="1379">
        <f t="shared" si="228"/>
        <v>17877017</v>
      </c>
      <c r="H431" s="1379">
        <f t="shared" si="228"/>
        <v>12248003</v>
      </c>
      <c r="I431" s="1379">
        <f t="shared" si="228"/>
        <v>3168756</v>
      </c>
      <c r="J431" s="1379">
        <f t="shared" si="228"/>
        <v>0</v>
      </c>
      <c r="K431" s="1379">
        <f t="shared" si="228"/>
        <v>0</v>
      </c>
      <c r="L431" s="1379">
        <f t="shared" si="228"/>
        <v>0</v>
      </c>
      <c r="M431" s="3161" t="s">
        <v>23</v>
      </c>
      <c r="N431" s="138"/>
      <c r="O431" s="1271"/>
    </row>
    <row r="432" spans="1:16" s="1272" customFormat="1" ht="12" customHeight="1">
      <c r="A432" s="3181"/>
      <c r="B432" s="135" t="s">
        <v>24</v>
      </c>
      <c r="C432" s="136"/>
      <c r="D432" s="1413">
        <f>+D433</f>
        <v>57003</v>
      </c>
      <c r="E432" s="1413">
        <v>57003</v>
      </c>
      <c r="F432" s="1413"/>
      <c r="G432" s="1413"/>
      <c r="H432" s="1413"/>
      <c r="I432" s="1413"/>
      <c r="J432" s="1413"/>
      <c r="K432" s="1413"/>
      <c r="L432" s="1413"/>
      <c r="M432" s="3162"/>
      <c r="N432" s="138"/>
      <c r="O432" s="1271"/>
    </row>
    <row r="433" spans="1:15" s="1272" customFormat="1" ht="12" customHeight="1">
      <c r="A433" s="3181"/>
      <c r="B433" s="39" t="s">
        <v>15</v>
      </c>
      <c r="C433" s="40"/>
      <c r="D433" s="1414">
        <f>+D464</f>
        <v>57003</v>
      </c>
      <c r="E433" s="1414">
        <v>57003</v>
      </c>
      <c r="F433" s="1414">
        <f>+F459</f>
        <v>0</v>
      </c>
      <c r="G433" s="1414">
        <f t="shared" ref="G433:K433" si="229">+G459</f>
        <v>0</v>
      </c>
      <c r="H433" s="1414">
        <f t="shared" si="229"/>
        <v>0</v>
      </c>
      <c r="I433" s="1414">
        <f t="shared" si="229"/>
        <v>0</v>
      </c>
      <c r="J433" s="1414">
        <f t="shared" si="229"/>
        <v>0</v>
      </c>
      <c r="K433" s="1414">
        <f t="shared" si="229"/>
        <v>0</v>
      </c>
      <c r="L433" s="1414">
        <f t="shared" ref="L433" si="230">+L464</f>
        <v>0</v>
      </c>
      <c r="M433" s="3162"/>
      <c r="N433" s="138"/>
      <c r="O433" s="1271"/>
    </row>
    <row r="434" spans="1:15" s="1272" customFormat="1" ht="12.75" customHeight="1">
      <c r="A434" s="3181"/>
      <c r="B434" s="1418" t="s">
        <v>18</v>
      </c>
      <c r="C434" s="1274"/>
      <c r="D434" s="139">
        <f>+D435</f>
        <v>33322256</v>
      </c>
      <c r="E434" s="139">
        <v>0</v>
      </c>
      <c r="F434" s="139">
        <f t="shared" ref="F434:I434" si="231">+F435</f>
        <v>28480</v>
      </c>
      <c r="G434" s="139">
        <f t="shared" si="231"/>
        <v>17877017</v>
      </c>
      <c r="H434" s="139">
        <f t="shared" si="231"/>
        <v>12248003</v>
      </c>
      <c r="I434" s="139">
        <f t="shared" si="231"/>
        <v>3168756</v>
      </c>
      <c r="J434" s="139">
        <f>+J435</f>
        <v>0</v>
      </c>
      <c r="K434" s="139">
        <f>+K435</f>
        <v>0</v>
      </c>
      <c r="L434" s="139">
        <f>+L435</f>
        <v>0</v>
      </c>
      <c r="M434" s="3162"/>
      <c r="N434" s="3003"/>
      <c r="O434" s="1271"/>
    </row>
    <row r="435" spans="1:15" s="1272" customFormat="1" ht="13.5" customHeight="1" thickBot="1">
      <c r="A435" s="3182"/>
      <c r="B435" s="1275" t="s">
        <v>20</v>
      </c>
      <c r="C435" s="1276"/>
      <c r="D435" s="140">
        <f>+D444+D454+D517+D466+D475+D484+D493+D502+D532</f>
        <v>33322256</v>
      </c>
      <c r="E435" s="140">
        <v>0</v>
      </c>
      <c r="F435" s="140">
        <f t="shared" ref="F435:L435" si="232">+F444+F454+F517+F466+F475+F484+F493+F502+F532</f>
        <v>28480</v>
      </c>
      <c r="G435" s="140">
        <f t="shared" si="232"/>
        <v>17877017</v>
      </c>
      <c r="H435" s="140">
        <f t="shared" si="232"/>
        <v>12248003</v>
      </c>
      <c r="I435" s="140">
        <f t="shared" si="232"/>
        <v>3168756</v>
      </c>
      <c r="J435" s="140">
        <f t="shared" si="232"/>
        <v>0</v>
      </c>
      <c r="K435" s="140">
        <f t="shared" si="232"/>
        <v>0</v>
      </c>
      <c r="L435" s="140">
        <f t="shared" si="232"/>
        <v>0</v>
      </c>
      <c r="M435" s="3163"/>
      <c r="N435" s="141"/>
      <c r="O435" s="1271">
        <f>D435-D430</f>
        <v>0</v>
      </c>
    </row>
    <row r="436" spans="1:15" hidden="1">
      <c r="A436" s="3133"/>
      <c r="B436" s="317"/>
      <c r="C436" s="64" t="s">
        <v>81</v>
      </c>
      <c r="D436" s="144"/>
      <c r="E436" s="43"/>
      <c r="F436" s="45"/>
      <c r="G436" s="45"/>
      <c r="H436" s="325"/>
      <c r="I436" s="44"/>
      <c r="J436" s="325"/>
      <c r="K436" s="325"/>
      <c r="L436" s="325"/>
      <c r="M436" s="326"/>
      <c r="N436" s="3094" t="s">
        <v>103</v>
      </c>
    </row>
    <row r="437" spans="1:15" hidden="1">
      <c r="A437" s="3134"/>
      <c r="B437" s="21" t="s">
        <v>10</v>
      </c>
      <c r="C437" s="22"/>
      <c r="D437" s="142">
        <f>+D438+D440</f>
        <v>0</v>
      </c>
      <c r="E437" s="142">
        <v>0</v>
      </c>
      <c r="F437" s="142"/>
      <c r="G437" s="142"/>
      <c r="H437" s="142"/>
      <c r="I437" s="142"/>
      <c r="J437" s="142"/>
      <c r="K437" s="142"/>
      <c r="L437" s="142"/>
      <c r="M437" s="71">
        <f>+M438+M440</f>
        <v>0</v>
      </c>
      <c r="N437" s="3095"/>
    </row>
    <row r="438" spans="1:15" hidden="1">
      <c r="A438" s="3134"/>
      <c r="B438" s="189" t="s">
        <v>24</v>
      </c>
      <c r="C438" s="3091" t="s">
        <v>84</v>
      </c>
      <c r="D438" s="143">
        <f>+D439</f>
        <v>0</v>
      </c>
      <c r="E438" s="143">
        <v>0</v>
      </c>
      <c r="F438" s="143"/>
      <c r="G438" s="143"/>
      <c r="H438" s="143"/>
      <c r="I438" s="143"/>
      <c r="J438" s="143"/>
      <c r="K438" s="143"/>
      <c r="L438" s="143"/>
      <c r="M438" s="88">
        <f>+M439</f>
        <v>0</v>
      </c>
      <c r="N438" s="3095"/>
    </row>
    <row r="439" spans="1:15" hidden="1">
      <c r="A439" s="3134"/>
      <c r="B439" s="520" t="s">
        <v>12</v>
      </c>
      <c r="C439" s="3092"/>
      <c r="D439" s="280">
        <f>E439+F439+G439+H439+I439+J439+K439+L439</f>
        <v>0</v>
      </c>
      <c r="E439" s="321">
        <v>0</v>
      </c>
      <c r="F439" s="97"/>
      <c r="G439" s="97"/>
      <c r="H439" s="97"/>
      <c r="I439" s="97"/>
      <c r="J439" s="97"/>
      <c r="K439" s="97"/>
      <c r="L439" s="97"/>
      <c r="M439" s="37">
        <f>SUM(F439:I439)</f>
        <v>0</v>
      </c>
      <c r="N439" s="3095"/>
    </row>
    <row r="440" spans="1:15" ht="12.75" hidden="1" customHeight="1">
      <c r="A440" s="3134"/>
      <c r="B440" s="577" t="s">
        <v>18</v>
      </c>
      <c r="C440" s="3092"/>
      <c r="D440" s="53">
        <f>+D441</f>
        <v>0</v>
      </c>
      <c r="E440" s="53">
        <v>0</v>
      </c>
      <c r="F440" s="53"/>
      <c r="G440" s="53"/>
      <c r="H440" s="53"/>
      <c r="I440" s="53"/>
      <c r="J440" s="53"/>
      <c r="K440" s="53"/>
      <c r="L440" s="53"/>
      <c r="M440" s="88">
        <f>+M441</f>
        <v>0</v>
      </c>
      <c r="N440" s="3095"/>
    </row>
    <row r="441" spans="1:15" hidden="1">
      <c r="A441" s="3134"/>
      <c r="B441" s="1260" t="s">
        <v>267</v>
      </c>
      <c r="C441" s="3176"/>
      <c r="D441" s="280">
        <f>E441+F441+G441+H441+I441+J441+K441+L441</f>
        <v>0</v>
      </c>
      <c r="E441" s="321"/>
      <c r="F441" s="97"/>
      <c r="G441" s="97"/>
      <c r="H441" s="97"/>
      <c r="I441" s="97"/>
      <c r="J441" s="97"/>
      <c r="K441" s="97"/>
      <c r="L441" s="97"/>
      <c r="M441" s="37">
        <f>SUM(F441:I441)</f>
        <v>0</v>
      </c>
      <c r="N441" s="3110"/>
      <c r="O441" s="563"/>
    </row>
    <row r="442" spans="1:15" ht="10.5" hidden="1" customHeight="1">
      <c r="A442" s="3135"/>
      <c r="B442" s="21" t="s">
        <v>22</v>
      </c>
      <c r="C442" s="22"/>
      <c r="D442" s="224">
        <f>+D443</f>
        <v>0</v>
      </c>
      <c r="E442" s="224">
        <v>0</v>
      </c>
      <c r="F442" s="224"/>
      <c r="G442" s="224"/>
      <c r="H442" s="224"/>
      <c r="I442" s="224"/>
      <c r="J442" s="224"/>
      <c r="K442" s="224"/>
      <c r="L442" s="224"/>
      <c r="M442" s="3169" t="s">
        <v>23</v>
      </c>
      <c r="N442" s="3213" t="s">
        <v>104</v>
      </c>
    </row>
    <row r="443" spans="1:15" s="298" customFormat="1" ht="12.75" hidden="1" customHeight="1">
      <c r="A443" s="3135"/>
      <c r="B443" s="577" t="s">
        <v>18</v>
      </c>
      <c r="C443" s="3091" t="s">
        <v>84</v>
      </c>
      <c r="D443" s="1123">
        <f>+D444</f>
        <v>0</v>
      </c>
      <c r="E443" s="1240">
        <v>0</v>
      </c>
      <c r="F443" s="1123"/>
      <c r="G443" s="1123"/>
      <c r="H443" s="1123"/>
      <c r="I443" s="1123"/>
      <c r="J443" s="1123"/>
      <c r="K443" s="1123"/>
      <c r="L443" s="1123"/>
      <c r="M443" s="3162"/>
      <c r="N443" s="3159"/>
    </row>
    <row r="444" spans="1:15" ht="12" hidden="1" customHeight="1" thickBot="1">
      <c r="A444" s="3136"/>
      <c r="B444" s="60" t="s">
        <v>20</v>
      </c>
      <c r="C444" s="3120"/>
      <c r="D444" s="280">
        <f>E444+F444+G444+H444+I444+J444+K444+L444</f>
        <v>0</v>
      </c>
      <c r="E444" s="321">
        <v>0</v>
      </c>
      <c r="F444" s="80"/>
      <c r="G444" s="80"/>
      <c r="H444" s="80"/>
      <c r="I444" s="80"/>
      <c r="J444" s="80"/>
      <c r="K444" s="80"/>
      <c r="L444" s="80"/>
      <c r="M444" s="3163"/>
      <c r="N444" s="3160"/>
    </row>
    <row r="445" spans="1:15" ht="20.25" customHeight="1" thickBot="1">
      <c r="A445" s="327"/>
      <c r="B445" s="314" t="s">
        <v>268</v>
      </c>
      <c r="C445" s="234"/>
      <c r="D445" s="1277"/>
      <c r="E445" s="232"/>
      <c r="F445" s="1278"/>
      <c r="G445" s="1278"/>
      <c r="H445" s="1279"/>
      <c r="I445" s="235"/>
      <c r="J445" s="1279"/>
      <c r="K445" s="1279"/>
      <c r="L445" s="1279"/>
      <c r="M445" s="328"/>
      <c r="N445" s="329"/>
    </row>
    <row r="446" spans="1:15" ht="28.5" customHeight="1">
      <c r="A446" s="3133" t="s">
        <v>324</v>
      </c>
      <c r="B446" s="317" t="s">
        <v>422</v>
      </c>
      <c r="C446" s="64" t="s">
        <v>81</v>
      </c>
      <c r="D446" s="144"/>
      <c r="E446" s="43"/>
      <c r="F446" s="45"/>
      <c r="G446" s="45"/>
      <c r="H446" s="266"/>
      <c r="I446" s="44"/>
      <c r="J446" s="266"/>
      <c r="K446" s="266"/>
      <c r="L446" s="266"/>
      <c r="M446" s="68"/>
      <c r="N446" s="3094" t="s">
        <v>87</v>
      </c>
      <c r="O446" s="262" t="s">
        <v>344</v>
      </c>
    </row>
    <row r="447" spans="1:15">
      <c r="A447" s="3134"/>
      <c r="B447" s="826" t="s">
        <v>10</v>
      </c>
      <c r="C447" s="1105"/>
      <c r="D447" s="805">
        <f>+D448+D450</f>
        <v>11500000</v>
      </c>
      <c r="E447" s="805">
        <f t="shared" ref="E447" si="233">+E448+E450</f>
        <v>20256</v>
      </c>
      <c r="F447" s="805">
        <f>+F448+F450</f>
        <v>11479744</v>
      </c>
      <c r="G447" s="805"/>
      <c r="H447" s="805"/>
      <c r="I447" s="805"/>
      <c r="J447" s="805"/>
      <c r="K447" s="805"/>
      <c r="L447" s="805"/>
      <c r="M447" s="2027">
        <f>+M448+M450</f>
        <v>11479744</v>
      </c>
      <c r="N447" s="3095"/>
    </row>
    <row r="448" spans="1:15">
      <c r="A448" s="3134"/>
      <c r="B448" s="783" t="s">
        <v>24</v>
      </c>
      <c r="C448" s="3106" t="s">
        <v>84</v>
      </c>
      <c r="D448" s="806">
        <f>+D449</f>
        <v>3892942</v>
      </c>
      <c r="E448" s="806">
        <f t="shared" ref="E448:F448" si="234">+E449</f>
        <v>20256</v>
      </c>
      <c r="F448" s="806">
        <f t="shared" si="234"/>
        <v>3872686</v>
      </c>
      <c r="G448" s="806"/>
      <c r="H448" s="806"/>
      <c r="I448" s="806"/>
      <c r="J448" s="806"/>
      <c r="K448" s="806"/>
      <c r="L448" s="806"/>
      <c r="M448" s="804">
        <f>+M449</f>
        <v>3872686</v>
      </c>
      <c r="N448" s="3095"/>
    </row>
    <row r="449" spans="1:15">
      <c r="A449" s="3134"/>
      <c r="B449" s="1390" t="s">
        <v>12</v>
      </c>
      <c r="C449" s="3092"/>
      <c r="D449" s="280">
        <f>E449+F449+G449+H449+I449+J449+K449+L449</f>
        <v>3892942</v>
      </c>
      <c r="E449" s="321">
        <v>20256</v>
      </c>
      <c r="F449" s="807">
        <f>1743624+383940+1505122+240000</f>
        <v>3872686</v>
      </c>
      <c r="G449" s="807"/>
      <c r="H449" s="807"/>
      <c r="I449" s="807"/>
      <c r="J449" s="807"/>
      <c r="K449" s="807"/>
      <c r="L449" s="807"/>
      <c r="M449" s="1381">
        <f>SUM(F449:L449)</f>
        <v>3872686</v>
      </c>
      <c r="N449" s="3095"/>
    </row>
    <row r="450" spans="1:15">
      <c r="A450" s="3134"/>
      <c r="B450" s="1386" t="s">
        <v>18</v>
      </c>
      <c r="C450" s="3092"/>
      <c r="D450" s="808">
        <f>+D451</f>
        <v>7607058</v>
      </c>
      <c r="E450" s="808">
        <f t="shared" ref="E450:F450" si="235">+E451</f>
        <v>0</v>
      </c>
      <c r="F450" s="808">
        <f t="shared" si="235"/>
        <v>7607058</v>
      </c>
      <c r="G450" s="808"/>
      <c r="H450" s="808"/>
      <c r="I450" s="808"/>
      <c r="J450" s="808"/>
      <c r="K450" s="808"/>
      <c r="L450" s="808"/>
      <c r="M450" s="804">
        <f>+M451</f>
        <v>7607058</v>
      </c>
      <c r="N450" s="3095"/>
    </row>
    <row r="451" spans="1:15">
      <c r="A451" s="3134"/>
      <c r="B451" s="1177" t="s">
        <v>267</v>
      </c>
      <c r="C451" s="3176"/>
      <c r="D451" s="280">
        <f>E451+F451+G451+H451+I451+J451+K451+L451</f>
        <v>7607058</v>
      </c>
      <c r="E451" s="321">
        <v>0</v>
      </c>
      <c r="F451" s="807">
        <f>5576376+1196060+74622+760000</f>
        <v>7607058</v>
      </c>
      <c r="G451" s="807"/>
      <c r="H451" s="807"/>
      <c r="I451" s="807"/>
      <c r="J451" s="807"/>
      <c r="K451" s="807"/>
      <c r="L451" s="807"/>
      <c r="M451" s="1381">
        <f>SUM(F451:L451)</f>
        <v>7607058</v>
      </c>
      <c r="N451" s="3110"/>
      <c r="O451" s="563"/>
    </row>
    <row r="452" spans="1:15">
      <c r="A452" s="3135"/>
      <c r="B452" s="826" t="s">
        <v>22</v>
      </c>
      <c r="C452" s="1105"/>
      <c r="D452" s="982">
        <f>+D453</f>
        <v>7607058</v>
      </c>
      <c r="E452" s="982">
        <f t="shared" ref="E452:G453" si="236">+E453</f>
        <v>0</v>
      </c>
      <c r="F452" s="982">
        <f t="shared" si="236"/>
        <v>0</v>
      </c>
      <c r="G452" s="982">
        <f t="shared" si="236"/>
        <v>7607058</v>
      </c>
      <c r="H452" s="982"/>
      <c r="I452" s="982"/>
      <c r="J452" s="982"/>
      <c r="K452" s="982"/>
      <c r="L452" s="982"/>
      <c r="M452" s="3161" t="s">
        <v>23</v>
      </c>
      <c r="N452" s="3158" t="s">
        <v>104</v>
      </c>
      <c r="O452" s="563"/>
    </row>
    <row r="453" spans="1:15" s="298" customFormat="1" ht="12.75" customHeight="1">
      <c r="A453" s="3135"/>
      <c r="B453" s="1386" t="s">
        <v>18</v>
      </c>
      <c r="C453" s="3106" t="s">
        <v>84</v>
      </c>
      <c r="D453" s="1281">
        <f>+D454</f>
        <v>7607058</v>
      </c>
      <c r="E453" s="1382">
        <v>0</v>
      </c>
      <c r="F453" s="1382">
        <f t="shared" si="236"/>
        <v>0</v>
      </c>
      <c r="G453" s="1382">
        <f t="shared" si="236"/>
        <v>7607058</v>
      </c>
      <c r="H453" s="1281"/>
      <c r="I453" s="1281"/>
      <c r="J453" s="1281"/>
      <c r="K453" s="1281"/>
      <c r="L453" s="1281"/>
      <c r="M453" s="3162"/>
      <c r="N453" s="3159"/>
    </row>
    <row r="454" spans="1:15" ht="12" customHeight="1" thickBot="1">
      <c r="A454" s="3136"/>
      <c r="B454" s="1191" t="s">
        <v>20</v>
      </c>
      <c r="C454" s="3120"/>
      <c r="D454" s="280">
        <f>E454+F454+G454+H454+I454+J454+K454+L454</f>
        <v>7607058</v>
      </c>
      <c r="E454" s="321">
        <v>0</v>
      </c>
      <c r="F454" s="620">
        <f>5100000-1114066-3985934</f>
        <v>0</v>
      </c>
      <c r="G454" s="620">
        <f>2861124+4745934</f>
        <v>7607058</v>
      </c>
      <c r="H454" s="620"/>
      <c r="I454" s="620"/>
      <c r="J454" s="620"/>
      <c r="K454" s="620"/>
      <c r="L454" s="620"/>
      <c r="M454" s="3163"/>
      <c r="N454" s="3160"/>
    </row>
    <row r="455" spans="1:15" ht="24">
      <c r="A455" s="3133" t="s">
        <v>106</v>
      </c>
      <c r="B455" s="317" t="s">
        <v>567</v>
      </c>
      <c r="C455" s="64" t="s">
        <v>81</v>
      </c>
      <c r="D455" s="144"/>
      <c r="E455" s="43"/>
      <c r="F455" s="45"/>
      <c r="G455" s="45"/>
      <c r="H455" s="266"/>
      <c r="I455" s="44"/>
      <c r="J455" s="266"/>
      <c r="K455" s="266"/>
      <c r="L455" s="266"/>
      <c r="M455" s="68"/>
      <c r="N455" s="3094" t="s">
        <v>87</v>
      </c>
      <c r="O455" s="262" t="s">
        <v>344</v>
      </c>
    </row>
    <row r="456" spans="1:15" ht="14.25" customHeight="1">
      <c r="A456" s="3134"/>
      <c r="B456" s="826" t="s">
        <v>10</v>
      </c>
      <c r="C456" s="2974"/>
      <c r="D456" s="2975">
        <f>+D457+D460</f>
        <v>8417660</v>
      </c>
      <c r="E456" s="2975">
        <f t="shared" ref="E456" si="237">+E457+E460</f>
        <v>395660</v>
      </c>
      <c r="F456" s="2975">
        <f t="shared" ref="F456:G456" si="238">+F457+F460</f>
        <v>100000</v>
      </c>
      <c r="G456" s="2975">
        <f t="shared" si="238"/>
        <v>7922000</v>
      </c>
      <c r="H456" s="2975"/>
      <c r="I456" s="2975"/>
      <c r="J456" s="2975"/>
      <c r="K456" s="2975"/>
      <c r="L456" s="2975"/>
      <c r="M456" s="2849">
        <f>+M457+M460</f>
        <v>8022000</v>
      </c>
      <c r="N456" s="3095"/>
    </row>
    <row r="457" spans="1:15">
      <c r="A457" s="3134"/>
      <c r="B457" s="783" t="s">
        <v>24</v>
      </c>
      <c r="C457" s="3146" t="s">
        <v>84</v>
      </c>
      <c r="D457" s="2976">
        <f>+D458+D459</f>
        <v>2306501</v>
      </c>
      <c r="E457" s="2976">
        <f t="shared" ref="E457" si="239">+E458+E459</f>
        <v>395660</v>
      </c>
      <c r="F457" s="2976">
        <f>+F458+F459</f>
        <v>23820</v>
      </c>
      <c r="G457" s="2976">
        <f>+G458+G459</f>
        <v>1887021</v>
      </c>
      <c r="H457" s="2976"/>
      <c r="I457" s="2976"/>
      <c r="J457" s="2976"/>
      <c r="K457" s="2976"/>
      <c r="L457" s="2976"/>
      <c r="M457" s="2938">
        <f>+M458</f>
        <v>1910841</v>
      </c>
      <c r="N457" s="3095"/>
    </row>
    <row r="458" spans="1:15">
      <c r="A458" s="3134"/>
      <c r="B458" s="1390" t="s">
        <v>12</v>
      </c>
      <c r="C458" s="3092"/>
      <c r="D458" s="2819">
        <f>E458+F458+G458+H458+I458+J458+K458+L458</f>
        <v>2249498</v>
      </c>
      <c r="E458" s="2903">
        <v>338657</v>
      </c>
      <c r="F458" s="2966">
        <f>1590700+320141-1887021</f>
        <v>23820</v>
      </c>
      <c r="G458" s="2966">
        <v>1887021</v>
      </c>
      <c r="H458" s="2966"/>
      <c r="I458" s="2966"/>
      <c r="J458" s="2966"/>
      <c r="K458" s="2966"/>
      <c r="L458" s="2966"/>
      <c r="M458" s="2968">
        <f>SUM(F458:L458)</f>
        <v>1910841</v>
      </c>
      <c r="N458" s="3095"/>
    </row>
    <row r="459" spans="1:15">
      <c r="A459" s="3134"/>
      <c r="B459" s="1390" t="s">
        <v>15</v>
      </c>
      <c r="C459" s="3092"/>
      <c r="D459" s="2819">
        <f>E459+F459+G459+H459+I459+J459+K459+L459</f>
        <v>57003</v>
      </c>
      <c r="E459" s="2903">
        <v>57003</v>
      </c>
      <c r="F459" s="2977">
        <v>0</v>
      </c>
      <c r="G459" s="2977">
        <v>0</v>
      </c>
      <c r="H459" s="2977"/>
      <c r="I459" s="2977"/>
      <c r="J459" s="2977"/>
      <c r="K459" s="2977"/>
      <c r="L459" s="2977"/>
      <c r="M459" s="2968">
        <f>SUM(F459:L459)</f>
        <v>0</v>
      </c>
      <c r="N459" s="3095"/>
    </row>
    <row r="460" spans="1:15">
      <c r="A460" s="3134"/>
      <c r="B460" s="1386" t="s">
        <v>18</v>
      </c>
      <c r="C460" s="3092"/>
      <c r="D460" s="2937">
        <f>+D461</f>
        <v>6111159</v>
      </c>
      <c r="E460" s="2937">
        <f t="shared" ref="E460:G460" si="240">+E461</f>
        <v>0</v>
      </c>
      <c r="F460" s="2937">
        <f t="shared" si="240"/>
        <v>76180</v>
      </c>
      <c r="G460" s="2937">
        <f t="shared" si="240"/>
        <v>6034979</v>
      </c>
      <c r="H460" s="2937"/>
      <c r="I460" s="2937"/>
      <c r="J460" s="2937"/>
      <c r="K460" s="2937"/>
      <c r="L460" s="2937"/>
      <c r="M460" s="2938">
        <f>+M461</f>
        <v>6111159</v>
      </c>
      <c r="N460" s="3095"/>
    </row>
    <row r="461" spans="1:15">
      <c r="A461" s="3134"/>
      <c r="B461" s="2978" t="s">
        <v>267</v>
      </c>
      <c r="C461" s="3176"/>
      <c r="D461" s="2819">
        <f>E461+F461+G461+H461+I461+J461+K461+L461</f>
        <v>6111159</v>
      </c>
      <c r="E461" s="2903">
        <v>0</v>
      </c>
      <c r="F461" s="2966">
        <f>5087300+1023859-6034979</f>
        <v>76180</v>
      </c>
      <c r="G461" s="2966">
        <v>6034979</v>
      </c>
      <c r="H461" s="2966"/>
      <c r="I461" s="2966"/>
      <c r="J461" s="2966"/>
      <c r="K461" s="2966"/>
      <c r="L461" s="2966"/>
      <c r="M461" s="2968">
        <f>SUM(F461:L461)</f>
        <v>6111159</v>
      </c>
      <c r="N461" s="3110"/>
      <c r="O461" s="563"/>
    </row>
    <row r="462" spans="1:15">
      <c r="A462" s="3135"/>
      <c r="B462" s="826" t="s">
        <v>22</v>
      </c>
      <c r="C462" s="2974"/>
      <c r="D462" s="2934">
        <f>+D463+D465</f>
        <v>6168162</v>
      </c>
      <c r="E462" s="2934">
        <f t="shared" ref="E462" si="241">+E463+E465</f>
        <v>57003</v>
      </c>
      <c r="F462" s="2934">
        <f t="shared" ref="F462:H462" si="242">+F463+F465</f>
        <v>0</v>
      </c>
      <c r="G462" s="2934">
        <f t="shared" si="242"/>
        <v>3697167</v>
      </c>
      <c r="H462" s="2934">
        <f t="shared" si="242"/>
        <v>2413992</v>
      </c>
      <c r="I462" s="2934"/>
      <c r="J462" s="2934"/>
      <c r="K462" s="2934"/>
      <c r="L462" s="2934"/>
      <c r="M462" s="3170" t="s">
        <v>23</v>
      </c>
      <c r="N462" s="3191" t="s">
        <v>104</v>
      </c>
    </row>
    <row r="463" spans="1:15">
      <c r="A463" s="3135"/>
      <c r="B463" s="1386" t="s">
        <v>24</v>
      </c>
      <c r="C463" s="3252" t="s">
        <v>84</v>
      </c>
      <c r="D463" s="2976">
        <f>+D464</f>
        <v>57003</v>
      </c>
      <c r="E463" s="2976">
        <f t="shared" ref="E463" si="243">+E464</f>
        <v>57003</v>
      </c>
      <c r="F463" s="2979">
        <v>0</v>
      </c>
      <c r="G463" s="2979">
        <v>0</v>
      </c>
      <c r="H463" s="2979">
        <v>0</v>
      </c>
      <c r="I463" s="2979"/>
      <c r="J463" s="2979"/>
      <c r="K463" s="2979"/>
      <c r="L463" s="2979"/>
      <c r="M463" s="3162"/>
      <c r="N463" s="3159"/>
    </row>
    <row r="464" spans="1:15">
      <c r="A464" s="3135"/>
      <c r="B464" s="2978" t="s">
        <v>15</v>
      </c>
      <c r="C464" s="3253"/>
      <c r="D464" s="2819">
        <f>E464+F464+G464+H464+I464+J464+K464+L464</f>
        <v>57003</v>
      </c>
      <c r="E464" s="2903">
        <v>57003</v>
      </c>
      <c r="F464" s="2977">
        <v>0</v>
      </c>
      <c r="G464" s="2977">
        <v>0</v>
      </c>
      <c r="H464" s="2977">
        <v>0</v>
      </c>
      <c r="I464" s="2977"/>
      <c r="J464" s="2977"/>
      <c r="K464" s="2977"/>
      <c r="L464" s="2977"/>
      <c r="M464" s="3162"/>
      <c r="N464" s="3159"/>
    </row>
    <row r="465" spans="1:15" s="298" customFormat="1" ht="12.75" customHeight="1">
      <c r="A465" s="3135"/>
      <c r="B465" s="1386" t="s">
        <v>18</v>
      </c>
      <c r="C465" s="3253"/>
      <c r="D465" s="2972">
        <f>+D466</f>
        <v>6111159</v>
      </c>
      <c r="E465" s="2246">
        <f t="shared" ref="E465:H465" si="244">+E466</f>
        <v>0</v>
      </c>
      <c r="F465" s="2980">
        <f t="shared" si="244"/>
        <v>0</v>
      </c>
      <c r="G465" s="2980">
        <f t="shared" si="244"/>
        <v>3697167</v>
      </c>
      <c r="H465" s="2980">
        <f t="shared" si="244"/>
        <v>2413992</v>
      </c>
      <c r="I465" s="2972"/>
      <c r="J465" s="2972"/>
      <c r="K465" s="2972"/>
      <c r="L465" s="2972"/>
      <c r="M465" s="3162"/>
      <c r="N465" s="3159"/>
    </row>
    <row r="466" spans="1:15" ht="12" customHeight="1" thickBot="1">
      <c r="A466" s="3136"/>
      <c r="B466" s="1191" t="s">
        <v>20</v>
      </c>
      <c r="C466" s="3254"/>
      <c r="D466" s="1337">
        <f>E466+F466+G466+H466+I466+J466+K466+L466</f>
        <v>6111159</v>
      </c>
      <c r="E466" s="1337">
        <v>0</v>
      </c>
      <c r="F466" s="620">
        <f>3555530-3555530</f>
        <v>0</v>
      </c>
      <c r="G466" s="620">
        <f>2555629+1141538</f>
        <v>3697167</v>
      </c>
      <c r="H466" s="620">
        <v>2413992</v>
      </c>
      <c r="I466" s="620"/>
      <c r="J466" s="620"/>
      <c r="K466" s="620"/>
      <c r="L466" s="620"/>
      <c r="M466" s="3163"/>
      <c r="N466" s="3160"/>
    </row>
    <row r="467" spans="1:15" ht="22.5" customHeight="1">
      <c r="A467" s="3133" t="s">
        <v>325</v>
      </c>
      <c r="B467" s="317" t="s">
        <v>568</v>
      </c>
      <c r="C467" s="64" t="s">
        <v>81</v>
      </c>
      <c r="D467" s="144"/>
      <c r="E467" s="802"/>
      <c r="F467" s="45"/>
      <c r="G467" s="45"/>
      <c r="H467" s="266"/>
      <c r="I467" s="44"/>
      <c r="J467" s="266"/>
      <c r="K467" s="266"/>
      <c r="L467" s="266"/>
      <c r="M467" s="68"/>
      <c r="N467" s="3094" t="s">
        <v>87</v>
      </c>
      <c r="O467" s="262" t="s">
        <v>344</v>
      </c>
    </row>
    <row r="468" spans="1:15">
      <c r="A468" s="3134"/>
      <c r="B468" s="21" t="s">
        <v>10</v>
      </c>
      <c r="C468" s="22"/>
      <c r="D468" s="496">
        <f>+D469+D471</f>
        <v>8042058</v>
      </c>
      <c r="E468" s="496">
        <f t="shared" ref="E468" si="245">+E469+E471</f>
        <v>5520</v>
      </c>
      <c r="F468" s="496">
        <f t="shared" ref="F468:G468" si="246">+F469+F471</f>
        <v>58000</v>
      </c>
      <c r="G468" s="496">
        <f t="shared" si="246"/>
        <v>7978538</v>
      </c>
      <c r="H468" s="496"/>
      <c r="I468" s="496"/>
      <c r="J468" s="496"/>
      <c r="K468" s="496"/>
      <c r="L468" s="496"/>
      <c r="M468" s="470">
        <f>+M469+M471</f>
        <v>8036538</v>
      </c>
      <c r="N468" s="3095"/>
    </row>
    <row r="469" spans="1:15">
      <c r="A469" s="3134"/>
      <c r="B469" s="189" t="s">
        <v>24</v>
      </c>
      <c r="C469" s="3178" t="s">
        <v>84</v>
      </c>
      <c r="D469" s="497">
        <f>+D470</f>
        <v>1913818</v>
      </c>
      <c r="E469" s="497">
        <f t="shared" ref="E469:G469" si="247">+E470</f>
        <v>1315</v>
      </c>
      <c r="F469" s="497">
        <f t="shared" si="247"/>
        <v>58000</v>
      </c>
      <c r="G469" s="497">
        <f t="shared" si="247"/>
        <v>1854503</v>
      </c>
      <c r="H469" s="497"/>
      <c r="I469" s="497"/>
      <c r="J469" s="497"/>
      <c r="K469" s="497"/>
      <c r="L469" s="497"/>
      <c r="M469" s="486">
        <f>+M470</f>
        <v>1912503</v>
      </c>
      <c r="N469" s="3095"/>
    </row>
    <row r="470" spans="1:15">
      <c r="A470" s="3134"/>
      <c r="B470" s="520" t="s">
        <v>12</v>
      </c>
      <c r="C470" s="3092"/>
      <c r="D470" s="280">
        <f>E470+F470+G470+H470+I470+J470+K470+L470</f>
        <v>1913818</v>
      </c>
      <c r="E470" s="321">
        <v>1315</v>
      </c>
      <c r="F470" s="488">
        <f>1853686+256180+42637-2094503</f>
        <v>58000</v>
      </c>
      <c r="G470" s="488">
        <v>1854503</v>
      </c>
      <c r="H470" s="488"/>
      <c r="I470" s="488"/>
      <c r="J470" s="488"/>
      <c r="K470" s="488"/>
      <c r="L470" s="488"/>
      <c r="M470" s="37">
        <f>SUM(F470:L470)</f>
        <v>1912503</v>
      </c>
      <c r="N470" s="3095"/>
    </row>
    <row r="471" spans="1:15">
      <c r="A471" s="3134"/>
      <c r="B471" s="577" t="s">
        <v>18</v>
      </c>
      <c r="C471" s="3092"/>
      <c r="D471" s="490">
        <f>+D472</f>
        <v>6128240</v>
      </c>
      <c r="E471" s="490">
        <f t="shared" ref="E471:G471" si="248">+E472</f>
        <v>4205</v>
      </c>
      <c r="F471" s="490">
        <f t="shared" si="248"/>
        <v>0</v>
      </c>
      <c r="G471" s="490">
        <f t="shared" si="248"/>
        <v>6124035</v>
      </c>
      <c r="H471" s="490"/>
      <c r="I471" s="490"/>
      <c r="J471" s="490"/>
      <c r="K471" s="490"/>
      <c r="L471" s="490"/>
      <c r="M471" s="486">
        <f>+M472</f>
        <v>6124035</v>
      </c>
      <c r="N471" s="3095"/>
    </row>
    <row r="472" spans="1:15">
      <c r="A472" s="3134"/>
      <c r="B472" s="1280" t="s">
        <v>267</v>
      </c>
      <c r="C472" s="3176"/>
      <c r="D472" s="280">
        <f>E472+F472+G472+H472+I472+J472+K472+L472</f>
        <v>6128240</v>
      </c>
      <c r="E472" s="321">
        <v>4205</v>
      </c>
      <c r="F472" s="488">
        <f>5928372+953820+1843-6884035</f>
        <v>0</v>
      </c>
      <c r="G472" s="488">
        <v>6124035</v>
      </c>
      <c r="H472" s="488"/>
      <c r="I472" s="488"/>
      <c r="J472" s="488"/>
      <c r="K472" s="488"/>
      <c r="L472" s="488"/>
      <c r="M472" s="37">
        <f>SUM(F472:L472)</f>
        <v>6124035</v>
      </c>
      <c r="N472" s="3110"/>
      <c r="O472" s="563"/>
    </row>
    <row r="473" spans="1:15">
      <c r="A473" s="3135"/>
      <c r="B473" s="21" t="s">
        <v>22</v>
      </c>
      <c r="C473" s="22"/>
      <c r="D473" s="503">
        <f>+D474</f>
        <v>6128240</v>
      </c>
      <c r="E473" s="503">
        <f t="shared" ref="E473:H474" si="249">+E474</f>
        <v>0</v>
      </c>
      <c r="F473" s="503">
        <f t="shared" si="249"/>
        <v>0</v>
      </c>
      <c r="G473" s="503">
        <f t="shared" si="249"/>
        <v>3909880</v>
      </c>
      <c r="H473" s="503">
        <f t="shared" si="249"/>
        <v>2218360</v>
      </c>
      <c r="I473" s="503"/>
      <c r="J473" s="503"/>
      <c r="K473" s="503"/>
      <c r="L473" s="503"/>
      <c r="M473" s="3177" t="s">
        <v>23</v>
      </c>
      <c r="N473" s="3186" t="s">
        <v>104</v>
      </c>
    </row>
    <row r="474" spans="1:15" s="298" customFormat="1" ht="12.75" customHeight="1">
      <c r="A474" s="3135"/>
      <c r="B474" s="577" t="s">
        <v>18</v>
      </c>
      <c r="C474" s="3178" t="s">
        <v>84</v>
      </c>
      <c r="D474" s="604">
        <f>+D475</f>
        <v>6128240</v>
      </c>
      <c r="E474" s="603">
        <f t="shared" si="249"/>
        <v>0</v>
      </c>
      <c r="F474" s="603">
        <f t="shared" si="249"/>
        <v>0</v>
      </c>
      <c r="G474" s="603">
        <f t="shared" si="249"/>
        <v>3909880</v>
      </c>
      <c r="H474" s="603">
        <f t="shared" si="249"/>
        <v>2218360</v>
      </c>
      <c r="I474" s="604"/>
      <c r="J474" s="604"/>
      <c r="K474" s="604"/>
      <c r="L474" s="604"/>
      <c r="M474" s="3162"/>
      <c r="N474" s="3159"/>
    </row>
    <row r="475" spans="1:15" ht="13.5" thickBot="1">
      <c r="A475" s="3136"/>
      <c r="B475" s="60" t="s">
        <v>20</v>
      </c>
      <c r="C475" s="3120"/>
      <c r="D475" s="280">
        <f>E475+F475+G475+H475+I475+J475+K475+L475</f>
        <v>6128240</v>
      </c>
      <c r="E475" s="321">
        <v>0</v>
      </c>
      <c r="F475" s="80">
        <f>3909880-3909880</f>
        <v>0</v>
      </c>
      <c r="G475" s="80">
        <f>2978360+931520</f>
        <v>3909880</v>
      </c>
      <c r="H475" s="80">
        <v>2218360</v>
      </c>
      <c r="I475" s="80"/>
      <c r="J475" s="80"/>
      <c r="K475" s="80"/>
      <c r="L475" s="80"/>
      <c r="M475" s="3163"/>
      <c r="N475" s="3160"/>
    </row>
    <row r="476" spans="1:15" ht="30" customHeight="1">
      <c r="A476" s="3133" t="s">
        <v>246</v>
      </c>
      <c r="B476" s="317" t="s">
        <v>569</v>
      </c>
      <c r="C476" s="64" t="s">
        <v>81</v>
      </c>
      <c r="D476" s="144"/>
      <c r="E476" s="802"/>
      <c r="F476" s="45"/>
      <c r="G476" s="45"/>
      <c r="H476" s="266"/>
      <c r="I476" s="44"/>
      <c r="J476" s="266"/>
      <c r="K476" s="266"/>
      <c r="L476" s="266"/>
      <c r="M476" s="68"/>
      <c r="N476" s="3094" t="s">
        <v>87</v>
      </c>
      <c r="O476" s="262" t="s">
        <v>344</v>
      </c>
    </row>
    <row r="477" spans="1:15">
      <c r="A477" s="3134"/>
      <c r="B477" s="826" t="s">
        <v>10</v>
      </c>
      <c r="C477" s="1105"/>
      <c r="D477" s="805">
        <f>+D478+D480</f>
        <v>4410000</v>
      </c>
      <c r="E477" s="805">
        <f t="shared" ref="E477" si="250">+E478+E480</f>
        <v>373305</v>
      </c>
      <c r="F477" s="805">
        <f t="shared" ref="F477:G477" si="251">+F478+F480</f>
        <v>78417</v>
      </c>
      <c r="G477" s="805">
        <f t="shared" si="251"/>
        <v>3958278</v>
      </c>
      <c r="H477" s="805"/>
      <c r="I477" s="805"/>
      <c r="J477" s="805"/>
      <c r="K477" s="805"/>
      <c r="L477" s="805"/>
      <c r="M477" s="1358">
        <f>+M478+M480</f>
        <v>4036695</v>
      </c>
      <c r="N477" s="3095"/>
    </row>
    <row r="478" spans="1:15">
      <c r="A478" s="3134"/>
      <c r="B478" s="783" t="s">
        <v>24</v>
      </c>
      <c r="C478" s="3106" t="s">
        <v>84</v>
      </c>
      <c r="D478" s="806">
        <f>+D479</f>
        <v>1050462</v>
      </c>
      <c r="E478" s="806">
        <f t="shared" ref="E478:G478" si="252">+E479</f>
        <v>85279</v>
      </c>
      <c r="F478" s="806">
        <f t="shared" si="252"/>
        <v>26847</v>
      </c>
      <c r="G478" s="806">
        <f t="shared" si="252"/>
        <v>938336</v>
      </c>
      <c r="H478" s="806"/>
      <c r="I478" s="806"/>
      <c r="J478" s="806"/>
      <c r="K478" s="806"/>
      <c r="L478" s="806"/>
      <c r="M478" s="804">
        <f>+M479</f>
        <v>965183</v>
      </c>
      <c r="N478" s="3095"/>
    </row>
    <row r="479" spans="1:15">
      <c r="A479" s="3134"/>
      <c r="B479" s="1390" t="s">
        <v>12</v>
      </c>
      <c r="C479" s="3092"/>
      <c r="D479" s="280">
        <f>E479+F479+G479+H479+I479+J479+K479+L479</f>
        <v>1050462</v>
      </c>
      <c r="E479" s="321">
        <v>85279</v>
      </c>
      <c r="F479" s="807">
        <f>630277+321489+13417-938336</f>
        <v>26847</v>
      </c>
      <c r="G479" s="807">
        <v>938336</v>
      </c>
      <c r="H479" s="807"/>
      <c r="I479" s="807"/>
      <c r="J479" s="807"/>
      <c r="K479" s="807"/>
      <c r="L479" s="807"/>
      <c r="M479" s="1381">
        <f>SUM(F479:L479)</f>
        <v>965183</v>
      </c>
      <c r="N479" s="3095"/>
    </row>
    <row r="480" spans="1:15">
      <c r="A480" s="3134"/>
      <c r="B480" s="1386" t="s">
        <v>18</v>
      </c>
      <c r="C480" s="3092"/>
      <c r="D480" s="808">
        <f>+D481</f>
        <v>3359538</v>
      </c>
      <c r="E480" s="808">
        <f t="shared" ref="E480:G480" si="253">+E481</f>
        <v>288026</v>
      </c>
      <c r="F480" s="808">
        <f t="shared" si="253"/>
        <v>51570</v>
      </c>
      <c r="G480" s="808">
        <f t="shared" si="253"/>
        <v>3019942</v>
      </c>
      <c r="H480" s="808"/>
      <c r="I480" s="808"/>
      <c r="J480" s="808"/>
      <c r="K480" s="808"/>
      <c r="L480" s="808"/>
      <c r="M480" s="804">
        <f>+M481</f>
        <v>3071512</v>
      </c>
      <c r="N480" s="3095"/>
    </row>
    <row r="481" spans="1:15">
      <c r="A481" s="3134"/>
      <c r="B481" s="1177" t="s">
        <v>267</v>
      </c>
      <c r="C481" s="3176"/>
      <c r="D481" s="280">
        <f>E481+F481+G481+H481+I481+J481+K481+L481</f>
        <v>3359538</v>
      </c>
      <c r="E481" s="321">
        <v>288026</v>
      </c>
      <c r="F481" s="807">
        <f>2015723+1001511+47569+6709-3019942</f>
        <v>51570</v>
      </c>
      <c r="G481" s="807">
        <v>3019942</v>
      </c>
      <c r="H481" s="807"/>
      <c r="I481" s="807"/>
      <c r="J481" s="807"/>
      <c r="K481" s="807"/>
      <c r="L481" s="807"/>
      <c r="M481" s="1381">
        <f>SUM(F481:L481)</f>
        <v>3071512</v>
      </c>
      <c r="N481" s="3110"/>
      <c r="O481" s="563"/>
    </row>
    <row r="482" spans="1:15">
      <c r="A482" s="3135"/>
      <c r="B482" s="826" t="s">
        <v>22</v>
      </c>
      <c r="C482" s="1105"/>
      <c r="D482" s="982">
        <f>+D483</f>
        <v>3359538</v>
      </c>
      <c r="E482" s="982">
        <f t="shared" ref="E482:H483" si="254">+E483</f>
        <v>0</v>
      </c>
      <c r="F482" s="982">
        <f t="shared" si="254"/>
        <v>0</v>
      </c>
      <c r="G482" s="982">
        <f t="shared" si="254"/>
        <v>2334228</v>
      </c>
      <c r="H482" s="982">
        <f t="shared" si="254"/>
        <v>1025310</v>
      </c>
      <c r="I482" s="982"/>
      <c r="J482" s="982"/>
      <c r="K482" s="982"/>
      <c r="L482" s="982"/>
      <c r="M482" s="3161" t="s">
        <v>23</v>
      </c>
      <c r="N482" s="3158" t="s">
        <v>104</v>
      </c>
    </row>
    <row r="483" spans="1:15" s="298" customFormat="1" ht="12.75" customHeight="1">
      <c r="A483" s="3135"/>
      <c r="B483" s="1386" t="s">
        <v>18</v>
      </c>
      <c r="C483" s="3106" t="s">
        <v>84</v>
      </c>
      <c r="D483" s="1281">
        <f>+D484</f>
        <v>3359538</v>
      </c>
      <c r="E483" s="1382">
        <f t="shared" si="254"/>
        <v>0</v>
      </c>
      <c r="F483" s="1382">
        <f t="shared" si="254"/>
        <v>0</v>
      </c>
      <c r="G483" s="1382">
        <f t="shared" si="254"/>
        <v>2334228</v>
      </c>
      <c r="H483" s="1382">
        <f t="shared" si="254"/>
        <v>1025310</v>
      </c>
      <c r="I483" s="1281"/>
      <c r="J483" s="1281"/>
      <c r="K483" s="1281"/>
      <c r="L483" s="1281"/>
      <c r="M483" s="3162"/>
      <c r="N483" s="3159"/>
    </row>
    <row r="484" spans="1:15" ht="12" customHeight="1" thickBot="1">
      <c r="A484" s="3136"/>
      <c r="B484" s="1191" t="s">
        <v>20</v>
      </c>
      <c r="C484" s="3120"/>
      <c r="D484" s="280">
        <f>E484+F484+G484+H484+I484+J484+K484+L484</f>
        <v>3359538</v>
      </c>
      <c r="E484" s="321">
        <v>0</v>
      </c>
      <c r="F484" s="620">
        <f>2334228-2334228</f>
        <v>0</v>
      </c>
      <c r="G484" s="620">
        <f>1025310+1308918</f>
        <v>2334228</v>
      </c>
      <c r="H484" s="620">
        <v>1025310</v>
      </c>
      <c r="I484" s="620"/>
      <c r="J484" s="620"/>
      <c r="K484" s="620"/>
      <c r="L484" s="620"/>
      <c r="M484" s="3163"/>
      <c r="N484" s="3160"/>
    </row>
    <row r="485" spans="1:15" ht="23.25" customHeight="1">
      <c r="A485" s="3133" t="s">
        <v>247</v>
      </c>
      <c r="B485" s="317" t="s">
        <v>337</v>
      </c>
      <c r="C485" s="64" t="s">
        <v>81</v>
      </c>
      <c r="D485" s="144"/>
      <c r="E485" s="802"/>
      <c r="F485" s="45"/>
      <c r="G485" s="45"/>
      <c r="H485" s="266"/>
      <c r="I485" s="44"/>
      <c r="J485" s="266"/>
      <c r="K485" s="266"/>
      <c r="L485" s="112"/>
      <c r="M485" s="68"/>
      <c r="N485" s="3094" t="s">
        <v>87</v>
      </c>
      <c r="O485" s="262" t="s">
        <v>344</v>
      </c>
    </row>
    <row r="486" spans="1:15">
      <c r="A486" s="3134"/>
      <c r="B486" s="21" t="s">
        <v>10</v>
      </c>
      <c r="C486" s="22"/>
      <c r="D486" s="496">
        <f>+D487+D489</f>
        <v>7056000</v>
      </c>
      <c r="E486" s="496">
        <f t="shared" ref="E486:F486" si="255">+E487+E489</f>
        <v>0</v>
      </c>
      <c r="F486" s="800">
        <f t="shared" si="255"/>
        <v>0</v>
      </c>
      <c r="G486" s="496">
        <f>+G487+G489</f>
        <v>2610720</v>
      </c>
      <c r="H486" s="496">
        <f>+H487+H489</f>
        <v>4445280</v>
      </c>
      <c r="I486" s="496"/>
      <c r="J486" s="496"/>
      <c r="K486" s="496"/>
      <c r="L486" s="805"/>
      <c r="M486" s="803">
        <f>+M487+M489</f>
        <v>7056000</v>
      </c>
      <c r="N486" s="3095"/>
    </row>
    <row r="487" spans="1:15" ht="13.5" customHeight="1">
      <c r="A487" s="3134"/>
      <c r="B487" s="189" t="s">
        <v>24</v>
      </c>
      <c r="C487" s="3178" t="s">
        <v>84</v>
      </c>
      <c r="D487" s="497">
        <f>+D488</f>
        <v>1680740</v>
      </c>
      <c r="E487" s="497">
        <f t="shared" ref="E487:H487" si="256">+E488</f>
        <v>0</v>
      </c>
      <c r="F487" s="801">
        <f t="shared" si="256"/>
        <v>0</v>
      </c>
      <c r="G487" s="497">
        <f t="shared" si="256"/>
        <v>621874</v>
      </c>
      <c r="H487" s="497">
        <f t="shared" si="256"/>
        <v>1058866</v>
      </c>
      <c r="I487" s="497"/>
      <c r="J487" s="497"/>
      <c r="K487" s="497"/>
      <c r="L487" s="806"/>
      <c r="M487" s="804">
        <f>+M488</f>
        <v>1680740</v>
      </c>
      <c r="N487" s="3095"/>
    </row>
    <row r="488" spans="1:15">
      <c r="A488" s="3134"/>
      <c r="B488" s="520" t="s">
        <v>12</v>
      </c>
      <c r="C488" s="3092"/>
      <c r="D488" s="280">
        <f>E488+F488+G488+H488+I488+J488+K488+L488</f>
        <v>1680740</v>
      </c>
      <c r="E488" s="321">
        <v>0</v>
      </c>
      <c r="F488" s="600">
        <v>0</v>
      </c>
      <c r="G488" s="488">
        <v>621874</v>
      </c>
      <c r="H488" s="488">
        <v>1058866</v>
      </c>
      <c r="I488" s="488"/>
      <c r="J488" s="488"/>
      <c r="K488" s="488"/>
      <c r="L488" s="807"/>
      <c r="M488" s="37">
        <f>SUM(F488:L488)</f>
        <v>1680740</v>
      </c>
      <c r="N488" s="3095"/>
    </row>
    <row r="489" spans="1:15" ht="13.5" customHeight="1">
      <c r="A489" s="3134"/>
      <c r="B489" s="577" t="s">
        <v>18</v>
      </c>
      <c r="C489" s="3092"/>
      <c r="D489" s="490">
        <f>+D490</f>
        <v>5375260</v>
      </c>
      <c r="E489" s="490">
        <f t="shared" ref="E489:H489" si="257">+E490</f>
        <v>0</v>
      </c>
      <c r="F489" s="596">
        <f t="shared" si="257"/>
        <v>0</v>
      </c>
      <c r="G489" s="490">
        <f t="shared" si="257"/>
        <v>1988846</v>
      </c>
      <c r="H489" s="490">
        <f t="shared" si="257"/>
        <v>3386414</v>
      </c>
      <c r="I489" s="490"/>
      <c r="J489" s="490"/>
      <c r="K489" s="490"/>
      <c r="L489" s="808"/>
      <c r="M489" s="804">
        <f>+M490</f>
        <v>5375260</v>
      </c>
      <c r="N489" s="3095"/>
    </row>
    <row r="490" spans="1:15">
      <c r="A490" s="3134"/>
      <c r="B490" s="1280" t="s">
        <v>267</v>
      </c>
      <c r="C490" s="3176"/>
      <c r="D490" s="280">
        <f>E490+F490+G490+H490+I490+J490+K490+L490</f>
        <v>5375260</v>
      </c>
      <c r="E490" s="321">
        <v>0</v>
      </c>
      <c r="F490" s="600">
        <v>0</v>
      </c>
      <c r="G490" s="488">
        <v>1988846</v>
      </c>
      <c r="H490" s="488">
        <v>3386414</v>
      </c>
      <c r="I490" s="488"/>
      <c r="J490" s="488"/>
      <c r="K490" s="488"/>
      <c r="L490" s="807"/>
      <c r="M490" s="37">
        <f>SUM(F490:L490)</f>
        <v>5375260</v>
      </c>
      <c r="N490" s="3110"/>
      <c r="O490" s="563"/>
    </row>
    <row r="491" spans="1:15">
      <c r="A491" s="3135"/>
      <c r="B491" s="21" t="s">
        <v>22</v>
      </c>
      <c r="C491" s="22"/>
      <c r="D491" s="503">
        <f>+D492</f>
        <v>5375260</v>
      </c>
      <c r="E491" s="503">
        <f t="shared" ref="E491:I492" si="258">+E492</f>
        <v>0</v>
      </c>
      <c r="F491" s="602">
        <f t="shared" si="258"/>
        <v>0</v>
      </c>
      <c r="G491" s="503">
        <f t="shared" si="258"/>
        <v>0</v>
      </c>
      <c r="H491" s="503">
        <f t="shared" si="258"/>
        <v>3657763</v>
      </c>
      <c r="I491" s="503">
        <f t="shared" si="258"/>
        <v>1717497</v>
      </c>
      <c r="J491" s="503"/>
      <c r="K491" s="503"/>
      <c r="L491" s="982"/>
      <c r="M491" s="3255" t="s">
        <v>23</v>
      </c>
      <c r="N491" s="3186" t="s">
        <v>104</v>
      </c>
    </row>
    <row r="492" spans="1:15" s="298" customFormat="1">
      <c r="A492" s="3135"/>
      <c r="B492" s="577" t="s">
        <v>18</v>
      </c>
      <c r="C492" s="3178" t="s">
        <v>84</v>
      </c>
      <c r="D492" s="604">
        <f>+D493</f>
        <v>5375260</v>
      </c>
      <c r="E492" s="603">
        <f t="shared" si="258"/>
        <v>0</v>
      </c>
      <c r="F492" s="605">
        <f t="shared" si="258"/>
        <v>0</v>
      </c>
      <c r="G492" s="603">
        <f t="shared" si="258"/>
        <v>0</v>
      </c>
      <c r="H492" s="603">
        <f t="shared" si="258"/>
        <v>3657763</v>
      </c>
      <c r="I492" s="603">
        <f t="shared" si="258"/>
        <v>1717497</v>
      </c>
      <c r="J492" s="604"/>
      <c r="K492" s="604"/>
      <c r="L492" s="1281"/>
      <c r="M492" s="3256"/>
      <c r="N492" s="3159"/>
    </row>
    <row r="493" spans="1:15" ht="12" customHeight="1" thickBot="1">
      <c r="A493" s="3136"/>
      <c r="B493" s="60" t="s">
        <v>20</v>
      </c>
      <c r="C493" s="3120"/>
      <c r="D493" s="280">
        <f>E493+F493+G493+H493+I493+J493+K493+L493</f>
        <v>5375260</v>
      </c>
      <c r="E493" s="321">
        <v>0</v>
      </c>
      <c r="F493" s="323">
        <v>0</v>
      </c>
      <c r="G493" s="80">
        <v>0</v>
      </c>
      <c r="H493" s="80">
        <v>3657763</v>
      </c>
      <c r="I493" s="80">
        <v>1717497</v>
      </c>
      <c r="J493" s="80"/>
      <c r="K493" s="80"/>
      <c r="L493" s="620"/>
      <c r="M493" s="3257"/>
      <c r="N493" s="3160"/>
    </row>
    <row r="494" spans="1:15" ht="24" customHeight="1">
      <c r="A494" s="3133" t="s">
        <v>319</v>
      </c>
      <c r="B494" s="317" t="s">
        <v>338</v>
      </c>
      <c r="C494" s="64" t="s">
        <v>81</v>
      </c>
      <c r="D494" s="144"/>
      <c r="E494" s="802"/>
      <c r="F494" s="608"/>
      <c r="G494" s="45"/>
      <c r="H494" s="266"/>
      <c r="I494" s="44"/>
      <c r="J494" s="266"/>
      <c r="K494" s="266"/>
      <c r="L494" s="112"/>
      <c r="M494" s="68"/>
      <c r="N494" s="3094" t="s">
        <v>87</v>
      </c>
      <c r="O494" s="262" t="s">
        <v>344</v>
      </c>
    </row>
    <row r="495" spans="1:15">
      <c r="A495" s="3134"/>
      <c r="B495" s="826" t="s">
        <v>10</v>
      </c>
      <c r="C495" s="1105"/>
      <c r="D495" s="805">
        <f>+D496+D498</f>
        <v>5166000</v>
      </c>
      <c r="E495" s="805">
        <f t="shared" ref="E495" si="259">+E496+E498</f>
        <v>0</v>
      </c>
      <c r="F495" s="1396">
        <f t="shared" ref="F495:H495" si="260">+F496+F498</f>
        <v>0</v>
      </c>
      <c r="G495" s="805">
        <f t="shared" si="260"/>
        <v>1911420</v>
      </c>
      <c r="H495" s="805">
        <f t="shared" si="260"/>
        <v>3254580</v>
      </c>
      <c r="I495" s="805"/>
      <c r="J495" s="805"/>
      <c r="K495" s="805"/>
      <c r="L495" s="805"/>
      <c r="M495" s="803">
        <f>+M496+M498</f>
        <v>5166000</v>
      </c>
      <c r="N495" s="3095"/>
    </row>
    <row r="496" spans="1:15">
      <c r="A496" s="3134"/>
      <c r="B496" s="783" t="s">
        <v>24</v>
      </c>
      <c r="C496" s="3106" t="s">
        <v>84</v>
      </c>
      <c r="D496" s="806">
        <f>+D497</f>
        <v>1230541</v>
      </c>
      <c r="E496" s="806">
        <f t="shared" ref="E496:H496" si="261">+E497</f>
        <v>0</v>
      </c>
      <c r="F496" s="1394">
        <f t="shared" si="261"/>
        <v>0</v>
      </c>
      <c r="G496" s="806">
        <f t="shared" si="261"/>
        <v>455300</v>
      </c>
      <c r="H496" s="806">
        <f t="shared" si="261"/>
        <v>775241</v>
      </c>
      <c r="I496" s="806"/>
      <c r="J496" s="806"/>
      <c r="K496" s="806"/>
      <c r="L496" s="806"/>
      <c r="M496" s="804">
        <f>+M497</f>
        <v>1230541</v>
      </c>
      <c r="N496" s="3095"/>
    </row>
    <row r="497" spans="1:15">
      <c r="A497" s="3134"/>
      <c r="B497" s="1390" t="s">
        <v>12</v>
      </c>
      <c r="C497" s="3092"/>
      <c r="D497" s="280">
        <f>E497+F497+G497+H497+I497+J497+K497+L497</f>
        <v>1230541</v>
      </c>
      <c r="E497" s="807">
        <f>47545-47545</f>
        <v>0</v>
      </c>
      <c r="F497" s="1411">
        <v>0</v>
      </c>
      <c r="G497" s="807">
        <v>455300</v>
      </c>
      <c r="H497" s="807">
        <v>775241</v>
      </c>
      <c r="I497" s="807"/>
      <c r="J497" s="807"/>
      <c r="K497" s="807"/>
      <c r="L497" s="807"/>
      <c r="M497" s="1381">
        <f>SUM(F497:L497)</f>
        <v>1230541</v>
      </c>
      <c r="N497" s="3095"/>
    </row>
    <row r="498" spans="1:15">
      <c r="A498" s="3134"/>
      <c r="B498" s="1386" t="s">
        <v>18</v>
      </c>
      <c r="C498" s="3092"/>
      <c r="D498" s="808">
        <f>+D499</f>
        <v>3935459</v>
      </c>
      <c r="E498" s="808">
        <f t="shared" ref="E498:H498" si="262">+E499</f>
        <v>0</v>
      </c>
      <c r="F498" s="1387">
        <f t="shared" si="262"/>
        <v>0</v>
      </c>
      <c r="G498" s="808">
        <f t="shared" si="262"/>
        <v>1456120</v>
      </c>
      <c r="H498" s="808">
        <f t="shared" si="262"/>
        <v>2479339</v>
      </c>
      <c r="I498" s="808"/>
      <c r="J498" s="808"/>
      <c r="K498" s="808"/>
      <c r="L498" s="808"/>
      <c r="M498" s="804">
        <f>+M499</f>
        <v>3935459</v>
      </c>
      <c r="N498" s="3095"/>
    </row>
    <row r="499" spans="1:15">
      <c r="A499" s="3134"/>
      <c r="B499" s="1177" t="s">
        <v>267</v>
      </c>
      <c r="C499" s="3176"/>
      <c r="D499" s="280">
        <f>E499+F499+G499+H499+I499+J499+K499+L499</f>
        <v>3935459</v>
      </c>
      <c r="E499" s="321">
        <v>0</v>
      </c>
      <c r="F499" s="1411">
        <v>0</v>
      </c>
      <c r="G499" s="807">
        <v>1456120</v>
      </c>
      <c r="H499" s="807">
        <v>2479339</v>
      </c>
      <c r="I499" s="807"/>
      <c r="J499" s="807"/>
      <c r="K499" s="807"/>
      <c r="L499" s="807"/>
      <c r="M499" s="1381">
        <f>SUM(F499:L499)</f>
        <v>3935459</v>
      </c>
      <c r="N499" s="3110"/>
      <c r="O499" s="563"/>
    </row>
    <row r="500" spans="1:15">
      <c r="A500" s="3135"/>
      <c r="B500" s="826" t="s">
        <v>22</v>
      </c>
      <c r="C500" s="1105"/>
      <c r="D500" s="982">
        <f>+D501</f>
        <v>3935459</v>
      </c>
      <c r="E500" s="982">
        <f t="shared" ref="E500:I501" si="263">+E501</f>
        <v>0</v>
      </c>
      <c r="F500" s="1106">
        <f t="shared" si="263"/>
        <v>0</v>
      </c>
      <c r="G500" s="982">
        <f t="shared" si="263"/>
        <v>0</v>
      </c>
      <c r="H500" s="982">
        <f t="shared" si="263"/>
        <v>2671398</v>
      </c>
      <c r="I500" s="982">
        <f t="shared" si="263"/>
        <v>1264061</v>
      </c>
      <c r="J500" s="982"/>
      <c r="K500" s="982"/>
      <c r="L500" s="982"/>
      <c r="M500" s="3161" t="s">
        <v>23</v>
      </c>
      <c r="N500" s="3158" t="s">
        <v>104</v>
      </c>
    </row>
    <row r="501" spans="1:15" s="298" customFormat="1" ht="12.75" customHeight="1">
      <c r="A501" s="3135"/>
      <c r="B501" s="1386" t="s">
        <v>18</v>
      </c>
      <c r="C501" s="3106" t="s">
        <v>84</v>
      </c>
      <c r="D501" s="1281">
        <f>+D502</f>
        <v>3935459</v>
      </c>
      <c r="E501" s="1382">
        <f t="shared" si="263"/>
        <v>0</v>
      </c>
      <c r="F501" s="1412">
        <f t="shared" si="263"/>
        <v>0</v>
      </c>
      <c r="G501" s="1382">
        <f t="shared" si="263"/>
        <v>0</v>
      </c>
      <c r="H501" s="1382">
        <f t="shared" si="263"/>
        <v>2671398</v>
      </c>
      <c r="I501" s="1382">
        <f t="shared" si="263"/>
        <v>1264061</v>
      </c>
      <c r="J501" s="1281"/>
      <c r="K501" s="1281"/>
      <c r="L501" s="1281"/>
      <c r="M501" s="3162"/>
      <c r="N501" s="3159"/>
    </row>
    <row r="502" spans="1:15" ht="12" customHeight="1" thickBot="1">
      <c r="A502" s="3136"/>
      <c r="B502" s="1191" t="s">
        <v>20</v>
      </c>
      <c r="C502" s="3120"/>
      <c r="D502" s="280">
        <f>E502+F502+G502+H502+I502+J502+K502+L502</f>
        <v>3935459</v>
      </c>
      <c r="E502" s="321">
        <v>0</v>
      </c>
      <c r="F502" s="1393">
        <v>0</v>
      </c>
      <c r="G502" s="620">
        <v>0</v>
      </c>
      <c r="H502" s="620">
        <v>2671398</v>
      </c>
      <c r="I502" s="620">
        <v>1264061</v>
      </c>
      <c r="J502" s="620"/>
      <c r="K502" s="620"/>
      <c r="L502" s="620"/>
      <c r="M502" s="3163"/>
      <c r="N502" s="3160"/>
    </row>
    <row r="503" spans="1:15" ht="27.75" customHeight="1">
      <c r="A503" s="3246" t="s">
        <v>334</v>
      </c>
      <c r="B503" s="317" t="s">
        <v>484</v>
      </c>
      <c r="C503" s="64" t="s">
        <v>111</v>
      </c>
      <c r="D503" s="144"/>
      <c r="E503" s="802"/>
      <c r="F503" s="45"/>
      <c r="G503" s="45"/>
      <c r="H503" s="43"/>
      <c r="I503" s="44"/>
      <c r="J503" s="266"/>
      <c r="K503" s="266"/>
      <c r="L503" s="266"/>
      <c r="M503" s="68"/>
      <c r="N503" s="3094" t="s">
        <v>347</v>
      </c>
    </row>
    <row r="504" spans="1:15" ht="15.75" customHeight="1">
      <c r="A504" s="3247"/>
      <c r="B504" s="826" t="s">
        <v>10</v>
      </c>
      <c r="C504" s="2974"/>
      <c r="D504" s="2975">
        <f>+D505+D510</f>
        <v>454666</v>
      </c>
      <c r="E504" s="2975">
        <f t="shared" ref="E504" si="264">+E505+E510</f>
        <v>43098</v>
      </c>
      <c r="F504" s="2975">
        <f>+F505+F510</f>
        <v>273498</v>
      </c>
      <c r="G504" s="2975">
        <f>+G505+G510</f>
        <v>115985</v>
      </c>
      <c r="H504" s="2975">
        <f>+H505+H510</f>
        <v>22085</v>
      </c>
      <c r="I504" s="2975"/>
      <c r="J504" s="2975"/>
      <c r="K504" s="2975"/>
      <c r="L504" s="2975"/>
      <c r="M504" s="2849">
        <f>+M505+M510</f>
        <v>411568</v>
      </c>
      <c r="N504" s="3095"/>
    </row>
    <row r="505" spans="1:15" ht="12.75" customHeight="1">
      <c r="A505" s="3247"/>
      <c r="B505" s="783" t="s">
        <v>24</v>
      </c>
      <c r="C505" s="3146" t="s">
        <v>508</v>
      </c>
      <c r="D505" s="2976">
        <f>+D506</f>
        <v>70277</v>
      </c>
      <c r="E505" s="2976">
        <f t="shared" ref="E505" si="265">+E506</f>
        <v>6757</v>
      </c>
      <c r="F505" s="2976">
        <f>+F506</f>
        <v>41875</v>
      </c>
      <c r="G505" s="2976">
        <f>+G506</f>
        <v>17908</v>
      </c>
      <c r="H505" s="2976">
        <f>+H506</f>
        <v>3737</v>
      </c>
      <c r="I505" s="2976"/>
      <c r="J505" s="2976"/>
      <c r="K505" s="2976"/>
      <c r="L505" s="2976"/>
      <c r="M505" s="2938">
        <f>M506</f>
        <v>63520</v>
      </c>
      <c r="N505" s="3095"/>
    </row>
    <row r="506" spans="1:15" ht="12.75" customHeight="1">
      <c r="A506" s="3247"/>
      <c r="B506" s="1390" t="s">
        <v>12</v>
      </c>
      <c r="C506" s="3092"/>
      <c r="D506" s="2819">
        <f>E506+F506+G506+H506+I506+J506+K506+L506</f>
        <v>70277</v>
      </c>
      <c r="E506" s="2903">
        <v>6757</v>
      </c>
      <c r="F506" s="2966">
        <f>+F508+F509</f>
        <v>41875</v>
      </c>
      <c r="G506" s="2966">
        <f>+G508+G509</f>
        <v>17908</v>
      </c>
      <c r="H506" s="2966">
        <f>+H508+H509</f>
        <v>3737</v>
      </c>
      <c r="I506" s="2966"/>
      <c r="J506" s="2966"/>
      <c r="K506" s="2966"/>
      <c r="L506" s="2966"/>
      <c r="M506" s="2968">
        <f>SUM(F506:L506)</f>
        <v>63520</v>
      </c>
      <c r="N506" s="3095"/>
    </row>
    <row r="507" spans="1:15" ht="12.75" hidden="1" customHeight="1">
      <c r="A507" s="3247"/>
      <c r="B507" s="1390" t="s">
        <v>156</v>
      </c>
      <c r="C507" s="3092"/>
      <c r="D507" s="2819"/>
      <c r="E507" s="2984"/>
      <c r="F507" s="2966"/>
      <c r="G507" s="2966"/>
      <c r="H507" s="2966"/>
      <c r="I507" s="2966"/>
      <c r="J507" s="2966"/>
      <c r="K507" s="2966"/>
      <c r="L507" s="2966"/>
      <c r="M507" s="2968"/>
      <c r="N507" s="3095"/>
    </row>
    <row r="508" spans="1:15" ht="12.75" hidden="1" customHeight="1">
      <c r="A508" s="3247"/>
      <c r="B508" s="1390" t="s">
        <v>112</v>
      </c>
      <c r="C508" s="3092"/>
      <c r="D508" s="2819" t="e">
        <f>+E508+#REF!+#REF!+F508+G508+H508+I508+J508+K508+L508</f>
        <v>#REF!</v>
      </c>
      <c r="E508" s="2984"/>
      <c r="F508" s="2966">
        <f>35747+1841</f>
        <v>37588</v>
      </c>
      <c r="G508" s="2966">
        <f>12993+600</f>
        <v>13593</v>
      </c>
      <c r="H508" s="2966">
        <f>2242+500</f>
        <v>2742</v>
      </c>
      <c r="I508" s="2966"/>
      <c r="J508" s="2966"/>
      <c r="K508" s="2966"/>
      <c r="L508" s="2966"/>
      <c r="M508" s="2968">
        <f>SUM(F508:H508)</f>
        <v>53923</v>
      </c>
      <c r="N508" s="3095"/>
    </row>
    <row r="509" spans="1:15" ht="12.75" hidden="1" customHeight="1">
      <c r="A509" s="3247"/>
      <c r="B509" s="1390" t="s">
        <v>326</v>
      </c>
      <c r="C509" s="3092"/>
      <c r="D509" s="2819" t="e">
        <f>+E509+#REF!+#REF!+F509+G509+H509+I509+J509+K509+L509</f>
        <v>#REF!</v>
      </c>
      <c r="E509" s="2984"/>
      <c r="F509" s="2966">
        <f>4259+28</f>
        <v>4287</v>
      </c>
      <c r="G509" s="2966">
        <f>4315</f>
        <v>4315</v>
      </c>
      <c r="H509" s="2966">
        <v>995</v>
      </c>
      <c r="I509" s="2966"/>
      <c r="J509" s="2966"/>
      <c r="K509" s="2966"/>
      <c r="L509" s="2966"/>
      <c r="M509" s="2968">
        <f>SUM(F509:H509)</f>
        <v>9597</v>
      </c>
      <c r="N509" s="3095"/>
    </row>
    <row r="510" spans="1:15" ht="12.75" customHeight="1">
      <c r="A510" s="3247"/>
      <c r="B510" s="1386" t="s">
        <v>18</v>
      </c>
      <c r="C510" s="3092"/>
      <c r="D510" s="2937">
        <f>+D511</f>
        <v>384389</v>
      </c>
      <c r="E510" s="2937">
        <f t="shared" ref="E510" si="266">+E511</f>
        <v>36341</v>
      </c>
      <c r="F510" s="2937">
        <f>+F511</f>
        <v>231623</v>
      </c>
      <c r="G510" s="2937">
        <f>+G511</f>
        <v>98077</v>
      </c>
      <c r="H510" s="2937">
        <f>+H511</f>
        <v>18348</v>
      </c>
      <c r="I510" s="2937"/>
      <c r="J510" s="2937"/>
      <c r="K510" s="2937"/>
      <c r="L510" s="2937"/>
      <c r="M510" s="2938">
        <f>+M511</f>
        <v>348048</v>
      </c>
      <c r="N510" s="3095"/>
    </row>
    <row r="511" spans="1:15" ht="12.75" customHeight="1">
      <c r="A511" s="3247"/>
      <c r="B511" s="2978" t="s">
        <v>267</v>
      </c>
      <c r="C511" s="3176"/>
      <c r="D511" s="2819">
        <f>E511+F511+G511+H511+I511+J511+K511+L511</f>
        <v>384389</v>
      </c>
      <c r="E511" s="2903">
        <v>36341</v>
      </c>
      <c r="F511" s="2966">
        <f>+F513+F514</f>
        <v>231623</v>
      </c>
      <c r="G511" s="2966">
        <f>+G513+G514</f>
        <v>98077</v>
      </c>
      <c r="H511" s="2966">
        <f>+H513+H514</f>
        <v>18348</v>
      </c>
      <c r="I511" s="2966"/>
      <c r="J511" s="2966"/>
      <c r="K511" s="2966"/>
      <c r="L511" s="2966"/>
      <c r="M511" s="2968">
        <f>SUM(F511:L511)</f>
        <v>348048</v>
      </c>
      <c r="N511" s="3095"/>
    </row>
    <row r="512" spans="1:15" ht="12.75" hidden="1" customHeight="1">
      <c r="A512" s="3247"/>
      <c r="B512" s="1390" t="s">
        <v>156</v>
      </c>
      <c r="C512" s="2991"/>
      <c r="D512" s="2819"/>
      <c r="E512" s="2984"/>
      <c r="F512" s="2966"/>
      <c r="G512" s="2966"/>
      <c r="H512" s="2966"/>
      <c r="I512" s="2966"/>
      <c r="J512" s="2966"/>
      <c r="K512" s="2966"/>
      <c r="L512" s="2966"/>
      <c r="M512" s="2985"/>
      <c r="N512" s="3095"/>
    </row>
    <row r="513" spans="1:15" ht="12.75" hidden="1" customHeight="1">
      <c r="A513" s="3247"/>
      <c r="B513" s="1390" t="s">
        <v>112</v>
      </c>
      <c r="C513" s="1848" t="e">
        <f>+D513+D508</f>
        <v>#REF!</v>
      </c>
      <c r="D513" s="2819" t="e">
        <f>+E513+#REF!+#REF!+F513+G513+H513+I513+J513+K513+L513</f>
        <v>#REF!</v>
      </c>
      <c r="E513" s="2984"/>
      <c r="F513" s="2966">
        <f>202561+4760</f>
        <v>207321</v>
      </c>
      <c r="G513" s="2966">
        <v>73627</v>
      </c>
      <c r="H513" s="2966">
        <v>12704</v>
      </c>
      <c r="I513" s="2966"/>
      <c r="J513" s="2966"/>
      <c r="K513" s="2966"/>
      <c r="L513" s="2966"/>
      <c r="M513" s="2968">
        <f>SUM(F513:H513)</f>
        <v>293652</v>
      </c>
      <c r="N513" s="3095"/>
    </row>
    <row r="514" spans="1:15" ht="12.75" hidden="1" customHeight="1">
      <c r="A514" s="3247"/>
      <c r="B514" s="1390" t="s">
        <v>326</v>
      </c>
      <c r="C514" s="1848" t="e">
        <f>+D514+D509</f>
        <v>#REF!</v>
      </c>
      <c r="D514" s="2819" t="e">
        <f>+E514+#REF!+#REF!+F514+G514+H514+I514+J514+K514+L514</f>
        <v>#REF!</v>
      </c>
      <c r="E514" s="2984"/>
      <c r="F514" s="2966">
        <f>24139+163</f>
        <v>24302</v>
      </c>
      <c r="G514" s="2966">
        <v>24450</v>
      </c>
      <c r="H514" s="2966">
        <v>5644</v>
      </c>
      <c r="I514" s="2966"/>
      <c r="J514" s="2966"/>
      <c r="K514" s="2966"/>
      <c r="L514" s="2966"/>
      <c r="M514" s="2968">
        <f>SUM(F514:H514)</f>
        <v>54396</v>
      </c>
      <c r="N514" s="3095"/>
    </row>
    <row r="515" spans="1:15" ht="15.75" customHeight="1">
      <c r="A515" s="3247"/>
      <c r="B515" s="826" t="s">
        <v>22</v>
      </c>
      <c r="C515" s="2974"/>
      <c r="D515" s="2934">
        <f>SUM(E515:L515)</f>
        <v>384389</v>
      </c>
      <c r="E515" s="2934">
        <v>0</v>
      </c>
      <c r="F515" s="2934">
        <f t="shared" ref="F515:I516" si="267">+F516</f>
        <v>28480</v>
      </c>
      <c r="G515" s="2934">
        <f t="shared" si="267"/>
        <v>200880</v>
      </c>
      <c r="H515" s="2934">
        <f t="shared" si="267"/>
        <v>120335</v>
      </c>
      <c r="I515" s="2934">
        <f t="shared" si="267"/>
        <v>34694</v>
      </c>
      <c r="J515" s="2934"/>
      <c r="K515" s="2934"/>
      <c r="L515" s="2934"/>
      <c r="M515" s="3170" t="s">
        <v>23</v>
      </c>
      <c r="N515" s="3095"/>
    </row>
    <row r="516" spans="1:15" ht="12.75" customHeight="1">
      <c r="A516" s="3247"/>
      <c r="B516" s="1386" t="s">
        <v>18</v>
      </c>
      <c r="C516" s="3146" t="s">
        <v>113</v>
      </c>
      <c r="D516" s="2972">
        <f>+D517</f>
        <v>384389</v>
      </c>
      <c r="E516" s="2972">
        <v>0</v>
      </c>
      <c r="F516" s="2980">
        <f t="shared" si="267"/>
        <v>28480</v>
      </c>
      <c r="G516" s="2980">
        <f t="shared" si="267"/>
        <v>200880</v>
      </c>
      <c r="H516" s="2980">
        <f t="shared" si="267"/>
        <v>120335</v>
      </c>
      <c r="I516" s="2980">
        <f t="shared" si="267"/>
        <v>34694</v>
      </c>
      <c r="J516" s="2972"/>
      <c r="K516" s="2972"/>
      <c r="L516" s="2972"/>
      <c r="M516" s="3162"/>
      <c r="N516" s="3095"/>
    </row>
    <row r="517" spans="1:15" ht="12" customHeight="1" thickBot="1">
      <c r="A517" s="3248"/>
      <c r="B517" s="1191" t="s">
        <v>20</v>
      </c>
      <c r="C517" s="3120"/>
      <c r="D517" s="1337">
        <f>E517+F517+G517+H517+I517+J517+K517+L517</f>
        <v>384389</v>
      </c>
      <c r="E517" s="1337">
        <v>0</v>
      </c>
      <c r="F517" s="620">
        <f>20632+7848</f>
        <v>28480</v>
      </c>
      <c r="G517" s="620">
        <f>133982+66898</f>
        <v>200880</v>
      </c>
      <c r="H517" s="620">
        <f>229775-109440</f>
        <v>120335</v>
      </c>
      <c r="I517" s="620">
        <v>34694</v>
      </c>
      <c r="J517" s="620"/>
      <c r="K517" s="620"/>
      <c r="L517" s="620"/>
      <c r="M517" s="3163"/>
      <c r="N517" s="3101"/>
      <c r="O517" s="563">
        <f>D517-D511</f>
        <v>0</v>
      </c>
    </row>
    <row r="518" spans="1:15" ht="27.75" customHeight="1">
      <c r="A518" s="2995"/>
      <c r="B518" s="317" t="s">
        <v>509</v>
      </c>
      <c r="C518" s="64" t="s">
        <v>111</v>
      </c>
      <c r="D518" s="144"/>
      <c r="E518" s="802"/>
      <c r="F518" s="45"/>
      <c r="G518" s="45"/>
      <c r="H518" s="43"/>
      <c r="I518" s="44"/>
      <c r="J518" s="266"/>
      <c r="K518" s="266"/>
      <c r="L518" s="266"/>
      <c r="M518" s="68"/>
      <c r="N518" s="2987"/>
      <c r="O518" s="262" t="s">
        <v>498</v>
      </c>
    </row>
    <row r="519" spans="1:15" ht="15.75" customHeight="1">
      <c r="A519" s="2995"/>
      <c r="B519" s="826" t="s">
        <v>10</v>
      </c>
      <c r="C519" s="1105"/>
      <c r="D519" s="805">
        <f>+F519+G519+H519+I519</f>
        <v>497474</v>
      </c>
      <c r="E519" s="805">
        <f>+E520+E525</f>
        <v>0</v>
      </c>
      <c r="F519" s="805">
        <f>+F520+F525</f>
        <v>82220</v>
      </c>
      <c r="G519" s="805">
        <f t="shared" ref="G519:I519" si="268">+G520+G525</f>
        <v>165091</v>
      </c>
      <c r="H519" s="805">
        <f t="shared" si="268"/>
        <v>167991</v>
      </c>
      <c r="I519" s="805">
        <f t="shared" si="268"/>
        <v>82172</v>
      </c>
      <c r="J519" s="1396">
        <v>0</v>
      </c>
      <c r="K519" s="1396">
        <v>0</v>
      </c>
      <c r="L519" s="1396">
        <v>0</v>
      </c>
      <c r="M519" s="1358">
        <f>+I519+H519+G519+F519</f>
        <v>497474</v>
      </c>
      <c r="N519" s="2987"/>
    </row>
    <row r="520" spans="1:15" ht="12.75" customHeight="1">
      <c r="A520" s="2995"/>
      <c r="B520" s="783" t="s">
        <v>24</v>
      </c>
      <c r="C520" s="3106" t="s">
        <v>508</v>
      </c>
      <c r="D520" s="806">
        <f t="shared" ref="D520:D524" si="269">+F520+G520+H520+I520</f>
        <v>76321</v>
      </c>
      <c r="E520" s="806">
        <f>+E521</f>
        <v>0</v>
      </c>
      <c r="F520" s="806">
        <f>+F521</f>
        <v>12673</v>
      </c>
      <c r="G520" s="806">
        <f t="shared" ref="G520:I520" si="270">+G521</f>
        <v>25273</v>
      </c>
      <c r="H520" s="806">
        <f t="shared" si="270"/>
        <v>25709</v>
      </c>
      <c r="I520" s="806">
        <f t="shared" si="270"/>
        <v>12666</v>
      </c>
      <c r="J520" s="1394">
        <v>0</v>
      </c>
      <c r="K520" s="1394">
        <v>0</v>
      </c>
      <c r="L520" s="1394">
        <v>0</v>
      </c>
      <c r="M520" s="804">
        <f t="shared" ref="M520:M524" si="271">+I520+H520+G520+F520</f>
        <v>76321</v>
      </c>
      <c r="N520" s="2987"/>
    </row>
    <row r="521" spans="1:15" ht="12.75" customHeight="1">
      <c r="A521" s="2995" t="s">
        <v>420</v>
      </c>
      <c r="B521" s="1390" t="s">
        <v>12</v>
      </c>
      <c r="C521" s="3092"/>
      <c r="D521" s="280">
        <f>E521+F521+G521+H521+I521+J521+K521+L521</f>
        <v>76321</v>
      </c>
      <c r="E521" s="321">
        <v>0</v>
      </c>
      <c r="F521" s="807">
        <f>+F522</f>
        <v>12673</v>
      </c>
      <c r="G521" s="807">
        <f t="shared" ref="G521:I521" si="272">+G522</f>
        <v>25273</v>
      </c>
      <c r="H521" s="807">
        <f t="shared" si="272"/>
        <v>25709</v>
      </c>
      <c r="I521" s="807">
        <f t="shared" si="272"/>
        <v>12666</v>
      </c>
      <c r="J521" s="1411">
        <v>0</v>
      </c>
      <c r="K521" s="1411">
        <v>0</v>
      </c>
      <c r="L521" s="1411">
        <v>0</v>
      </c>
      <c r="M521" s="1381">
        <f t="shared" si="271"/>
        <v>76321</v>
      </c>
      <c r="N521" s="2987" t="s">
        <v>347</v>
      </c>
    </row>
    <row r="522" spans="1:15" ht="12.75" hidden="1" customHeight="1">
      <c r="A522" s="2995"/>
      <c r="B522" s="1390" t="s">
        <v>156</v>
      </c>
      <c r="C522" s="3092"/>
      <c r="D522" s="807">
        <f t="shared" si="269"/>
        <v>76321</v>
      </c>
      <c r="E522" s="842">
        <v>0</v>
      </c>
      <c r="F522" s="807">
        <f>+F523+F524</f>
        <v>12673</v>
      </c>
      <c r="G522" s="807">
        <f t="shared" ref="G522:I522" si="273">+G523+G524</f>
        <v>25273</v>
      </c>
      <c r="H522" s="807">
        <f t="shared" si="273"/>
        <v>25709</v>
      </c>
      <c r="I522" s="807">
        <f t="shared" si="273"/>
        <v>12666</v>
      </c>
      <c r="J522" s="1411">
        <v>0</v>
      </c>
      <c r="K522" s="1411">
        <v>0</v>
      </c>
      <c r="L522" s="1411">
        <v>0</v>
      </c>
      <c r="M522" s="1381">
        <f t="shared" si="271"/>
        <v>76321</v>
      </c>
      <c r="N522" s="2987"/>
    </row>
    <row r="523" spans="1:15" ht="12.75" hidden="1" customHeight="1">
      <c r="A523" s="2995"/>
      <c r="B523" s="1390" t="s">
        <v>112</v>
      </c>
      <c r="C523" s="3092"/>
      <c r="D523" s="807">
        <f t="shared" si="269"/>
        <v>64729</v>
      </c>
      <c r="E523" s="842">
        <v>0</v>
      </c>
      <c r="F523" s="807">
        <v>10714</v>
      </c>
      <c r="G523" s="807">
        <v>21623</v>
      </c>
      <c r="H523" s="807">
        <v>21679</v>
      </c>
      <c r="I523" s="807">
        <v>10713</v>
      </c>
      <c r="J523" s="1411">
        <v>0</v>
      </c>
      <c r="K523" s="1411">
        <v>0</v>
      </c>
      <c r="L523" s="1411">
        <v>0</v>
      </c>
      <c r="M523" s="1381">
        <f t="shared" si="271"/>
        <v>64729</v>
      </c>
      <c r="N523" s="2987"/>
    </row>
    <row r="524" spans="1:15" ht="12.75" hidden="1" customHeight="1">
      <c r="A524" s="2995"/>
      <c r="B524" s="1390" t="s">
        <v>326</v>
      </c>
      <c r="C524" s="3092"/>
      <c r="D524" s="807">
        <f t="shared" si="269"/>
        <v>11592</v>
      </c>
      <c r="E524" s="842">
        <v>0</v>
      </c>
      <c r="F524" s="807">
        <v>1959</v>
      </c>
      <c r="G524" s="807">
        <v>3650</v>
      </c>
      <c r="H524" s="807">
        <v>4030</v>
      </c>
      <c r="I524" s="807">
        <v>1953</v>
      </c>
      <c r="J524" s="1411">
        <v>0</v>
      </c>
      <c r="K524" s="1411">
        <v>0</v>
      </c>
      <c r="L524" s="1411">
        <v>0</v>
      </c>
      <c r="M524" s="1381">
        <f t="shared" si="271"/>
        <v>11592</v>
      </c>
      <c r="N524" s="2987"/>
    </row>
    <row r="525" spans="1:15" ht="12.75" customHeight="1">
      <c r="A525" s="2995"/>
      <c r="B525" s="1386" t="s">
        <v>18</v>
      </c>
      <c r="C525" s="3092"/>
      <c r="D525" s="808">
        <f>+E525+F525+G525+H525+I525+J525+K525+L525</f>
        <v>421153</v>
      </c>
      <c r="E525" s="808">
        <f>+E526</f>
        <v>0</v>
      </c>
      <c r="F525" s="808">
        <f>+F526</f>
        <v>69547</v>
      </c>
      <c r="G525" s="808">
        <f t="shared" ref="G525:I525" si="274">+G526</f>
        <v>139818</v>
      </c>
      <c r="H525" s="808">
        <f t="shared" si="274"/>
        <v>142282</v>
      </c>
      <c r="I525" s="808">
        <f t="shared" si="274"/>
        <v>69506</v>
      </c>
      <c r="J525" s="1387">
        <v>0</v>
      </c>
      <c r="K525" s="1387">
        <v>0</v>
      </c>
      <c r="L525" s="1387">
        <v>0</v>
      </c>
      <c r="M525" s="804">
        <f>+I525+H525+G525+F525</f>
        <v>421153</v>
      </c>
      <c r="N525" s="2987"/>
    </row>
    <row r="526" spans="1:15" ht="12.75" customHeight="1">
      <c r="A526" s="2995"/>
      <c r="B526" s="1177" t="s">
        <v>267</v>
      </c>
      <c r="C526" s="3176"/>
      <c r="D526" s="280">
        <f>E526+F526+G526+H526+I526+J526+K526+L526</f>
        <v>421153</v>
      </c>
      <c r="E526" s="321">
        <v>0</v>
      </c>
      <c r="F526" s="807">
        <f>+F527</f>
        <v>69547</v>
      </c>
      <c r="G526" s="807">
        <f t="shared" ref="G526:I526" si="275">+G527</f>
        <v>139818</v>
      </c>
      <c r="H526" s="807">
        <f t="shared" si="275"/>
        <v>142282</v>
      </c>
      <c r="I526" s="807">
        <f t="shared" si="275"/>
        <v>69506</v>
      </c>
      <c r="J526" s="1411">
        <v>0</v>
      </c>
      <c r="K526" s="1411">
        <v>0</v>
      </c>
      <c r="L526" s="1411">
        <v>0</v>
      </c>
      <c r="M526" s="1381">
        <f t="shared" ref="M526:M529" si="276">+I526+H526+G526+F526</f>
        <v>421153</v>
      </c>
      <c r="N526" s="2987"/>
    </row>
    <row r="527" spans="1:15" ht="12.75" hidden="1" customHeight="1">
      <c r="A527" s="2995"/>
      <c r="B527" s="1390" t="s">
        <v>156</v>
      </c>
      <c r="C527" s="2991"/>
      <c r="D527" s="280">
        <f t="shared" ref="D527:D529" si="277">E527+F527+G527+H527+I527+J527+K527+L527</f>
        <v>421153</v>
      </c>
      <c r="E527" s="842">
        <v>0</v>
      </c>
      <c r="F527" s="807">
        <f>+F528+F529</f>
        <v>69547</v>
      </c>
      <c r="G527" s="807">
        <f>+G528+G529</f>
        <v>139818</v>
      </c>
      <c r="H527" s="807">
        <f>+H528+H529</f>
        <v>142282</v>
      </c>
      <c r="I527" s="807">
        <f>+I528+I529</f>
        <v>69506</v>
      </c>
      <c r="J527" s="1411">
        <v>0</v>
      </c>
      <c r="K527" s="1411">
        <v>0</v>
      </c>
      <c r="L527" s="1411">
        <v>0</v>
      </c>
      <c r="M527" s="807">
        <f t="shared" si="276"/>
        <v>421153</v>
      </c>
      <c r="N527" s="2987"/>
    </row>
    <row r="528" spans="1:15" ht="12.75" hidden="1" customHeight="1">
      <c r="A528" s="2995"/>
      <c r="B528" s="1390" t="s">
        <v>112</v>
      </c>
      <c r="C528" s="1848"/>
      <c r="D528" s="280">
        <f t="shared" si="277"/>
        <v>355465</v>
      </c>
      <c r="E528" s="842">
        <v>0</v>
      </c>
      <c r="F528" s="807">
        <v>58446</v>
      </c>
      <c r="G528" s="807">
        <v>119128</v>
      </c>
      <c r="H528" s="807">
        <v>119450</v>
      </c>
      <c r="I528" s="807">
        <v>58441</v>
      </c>
      <c r="J528" s="1411">
        <v>0</v>
      </c>
      <c r="K528" s="1411">
        <v>0</v>
      </c>
      <c r="L528" s="1411">
        <v>0</v>
      </c>
      <c r="M528" s="807">
        <f t="shared" si="276"/>
        <v>355465</v>
      </c>
      <c r="N528" s="2987"/>
    </row>
    <row r="529" spans="1:16" ht="12" hidden="1" customHeight="1">
      <c r="A529" s="2995"/>
      <c r="B529" s="1390" t="s">
        <v>326</v>
      </c>
      <c r="C529" s="1848"/>
      <c r="D529" s="280">
        <f t="shared" si="277"/>
        <v>65688</v>
      </c>
      <c r="E529" s="842">
        <v>0</v>
      </c>
      <c r="F529" s="807">
        <v>11101</v>
      </c>
      <c r="G529" s="807">
        <v>20690</v>
      </c>
      <c r="H529" s="807">
        <v>22832</v>
      </c>
      <c r="I529" s="807">
        <v>11065</v>
      </c>
      <c r="J529" s="1411">
        <v>0</v>
      </c>
      <c r="K529" s="1411">
        <v>0</v>
      </c>
      <c r="L529" s="1411">
        <v>0</v>
      </c>
      <c r="M529" s="807">
        <f t="shared" si="276"/>
        <v>65688</v>
      </c>
      <c r="N529" s="2987"/>
    </row>
    <row r="530" spans="1:16" ht="15.75" customHeight="1">
      <c r="A530" s="2995"/>
      <c r="B530" s="826" t="s">
        <v>22</v>
      </c>
      <c r="C530" s="1105"/>
      <c r="D530" s="982">
        <f>+D531</f>
        <v>421153</v>
      </c>
      <c r="E530" s="982">
        <f>+E531</f>
        <v>0</v>
      </c>
      <c r="F530" s="1106">
        <v>0</v>
      </c>
      <c r="G530" s="982">
        <f>+G531</f>
        <v>127804</v>
      </c>
      <c r="H530" s="982">
        <f t="shared" ref="H530:I530" si="278">+H531</f>
        <v>140845</v>
      </c>
      <c r="I530" s="982">
        <f t="shared" si="278"/>
        <v>152504</v>
      </c>
      <c r="J530" s="1106">
        <v>0</v>
      </c>
      <c r="K530" s="1106">
        <v>0</v>
      </c>
      <c r="L530" s="1106">
        <v>0</v>
      </c>
      <c r="M530" s="3161" t="s">
        <v>23</v>
      </c>
      <c r="N530" s="2987"/>
    </row>
    <row r="531" spans="1:16" ht="12.75" customHeight="1">
      <c r="A531" s="2995"/>
      <c r="B531" s="1386" t="s">
        <v>18</v>
      </c>
      <c r="C531" s="3106" t="s">
        <v>507</v>
      </c>
      <c r="D531" s="1281">
        <f>+D532</f>
        <v>421153</v>
      </c>
      <c r="E531" s="1382">
        <f>+E532</f>
        <v>0</v>
      </c>
      <c r="F531" s="1412">
        <v>0</v>
      </c>
      <c r="G531" s="1382">
        <f>+G532</f>
        <v>127804</v>
      </c>
      <c r="H531" s="1382">
        <f t="shared" ref="H531:I531" si="279">+H532</f>
        <v>140845</v>
      </c>
      <c r="I531" s="1382">
        <f t="shared" si="279"/>
        <v>152504</v>
      </c>
      <c r="J531" s="851">
        <v>0</v>
      </c>
      <c r="K531" s="851">
        <v>0</v>
      </c>
      <c r="L531" s="851">
        <v>0</v>
      </c>
      <c r="M531" s="3162"/>
      <c r="N531" s="2987"/>
    </row>
    <row r="532" spans="1:16" ht="12.75" customHeight="1" thickBot="1">
      <c r="A532" s="2996"/>
      <c r="B532" s="1191" t="s">
        <v>20</v>
      </c>
      <c r="C532" s="3120"/>
      <c r="D532" s="1336">
        <f>E532+F532+G532+H532+I532+J532+K532+L532</f>
        <v>421153</v>
      </c>
      <c r="E532" s="1336">
        <v>0</v>
      </c>
      <c r="F532" s="1393">
        <v>0</v>
      </c>
      <c r="G532" s="2247">
        <v>127804</v>
      </c>
      <c r="H532" s="2247">
        <v>140845</v>
      </c>
      <c r="I532" s="2248">
        <v>152504</v>
      </c>
      <c r="J532" s="1393">
        <v>0</v>
      </c>
      <c r="K532" s="1393">
        <v>0</v>
      </c>
      <c r="L532" s="1393">
        <v>0</v>
      </c>
      <c r="M532" s="3163"/>
      <c r="N532" s="2987"/>
    </row>
    <row r="533" spans="1:16" ht="26.25" hidden="1" customHeight="1">
      <c r="A533" s="3258" t="s">
        <v>302</v>
      </c>
      <c r="B533" s="145" t="s">
        <v>105</v>
      </c>
      <c r="C533" s="1282"/>
      <c r="D533" s="1283"/>
      <c r="E533" s="1285"/>
      <c r="F533" s="1285"/>
      <c r="G533" s="1285"/>
      <c r="H533" s="1285"/>
      <c r="I533" s="1285"/>
      <c r="J533" s="1285"/>
      <c r="K533" s="1285"/>
      <c r="L533" s="1285"/>
      <c r="M533" s="1286"/>
      <c r="N533" s="3272"/>
    </row>
    <row r="534" spans="1:16" ht="12" hidden="1" customHeight="1">
      <c r="A534" s="3259"/>
      <c r="B534" s="21" t="s">
        <v>10</v>
      </c>
      <c r="C534" s="22"/>
      <c r="D534" s="146">
        <f>+D535+D539</f>
        <v>0</v>
      </c>
      <c r="E534" s="146">
        <f>+E535+E539</f>
        <v>0</v>
      </c>
      <c r="F534" s="146">
        <f t="shared" ref="F534:G534" si="280">+F535+F539</f>
        <v>0</v>
      </c>
      <c r="G534" s="146">
        <f t="shared" si="280"/>
        <v>0</v>
      </c>
      <c r="H534" s="146">
        <f t="shared" ref="H534:M534" si="281">+H535+H539</f>
        <v>0</v>
      </c>
      <c r="I534" s="146">
        <f t="shared" si="281"/>
        <v>0</v>
      </c>
      <c r="J534" s="146">
        <f t="shared" si="281"/>
        <v>0</v>
      </c>
      <c r="K534" s="146">
        <f t="shared" si="281"/>
        <v>0</v>
      </c>
      <c r="L534" s="146">
        <f t="shared" si="281"/>
        <v>0</v>
      </c>
      <c r="M534" s="33">
        <f t="shared" si="281"/>
        <v>0</v>
      </c>
      <c r="N534" s="3273"/>
      <c r="O534" s="563" t="e">
        <f>+#REF!+#REF!</f>
        <v>#REF!</v>
      </c>
      <c r="P534" s="563"/>
    </row>
    <row r="535" spans="1:16" s="1209" customFormat="1" ht="12" hidden="1" customHeight="1">
      <c r="A535" s="3259"/>
      <c r="B535" s="1287" t="s">
        <v>11</v>
      </c>
      <c r="C535" s="1288"/>
      <c r="D535" s="137">
        <f>+D536+D537+D538</f>
        <v>0</v>
      </c>
      <c r="E535" s="137">
        <f>+E536+E537+E538</f>
        <v>0</v>
      </c>
      <c r="F535" s="137">
        <f t="shared" ref="F535:G535" si="282">+F536+F537+F538</f>
        <v>0</v>
      </c>
      <c r="G535" s="137">
        <f t="shared" si="282"/>
        <v>0</v>
      </c>
      <c r="H535" s="137">
        <f t="shared" ref="H535:M535" si="283">+H536+H537+H538</f>
        <v>0</v>
      </c>
      <c r="I535" s="137">
        <f t="shared" si="283"/>
        <v>0</v>
      </c>
      <c r="J535" s="137">
        <f t="shared" si="283"/>
        <v>0</v>
      </c>
      <c r="K535" s="137">
        <f t="shared" si="283"/>
        <v>0</v>
      </c>
      <c r="L535" s="137">
        <f t="shared" si="283"/>
        <v>0</v>
      </c>
      <c r="M535" s="35">
        <f t="shared" si="283"/>
        <v>0</v>
      </c>
      <c r="N535" s="3273"/>
      <c r="P535" s="563"/>
    </row>
    <row r="536" spans="1:16" ht="12" hidden="1" customHeight="1">
      <c r="A536" s="3259"/>
      <c r="B536" s="1289" t="s">
        <v>12</v>
      </c>
      <c r="C536" s="1290"/>
      <c r="D536" s="36">
        <f>+D552+D570</f>
        <v>0</v>
      </c>
      <c r="E536" s="36">
        <f>+E552+E570</f>
        <v>0</v>
      </c>
      <c r="F536" s="36">
        <f t="shared" ref="F536:G536" si="284">+F552+F570</f>
        <v>0</v>
      </c>
      <c r="G536" s="36">
        <f t="shared" si="284"/>
        <v>0</v>
      </c>
      <c r="H536" s="36">
        <f>+H552+H570</f>
        <v>0</v>
      </c>
      <c r="I536" s="36">
        <f>+I552+I570</f>
        <v>0</v>
      </c>
      <c r="J536" s="36">
        <f>+J552+J570</f>
        <v>0</v>
      </c>
      <c r="K536" s="36">
        <f>+K552+K570</f>
        <v>0</v>
      </c>
      <c r="L536" s="36">
        <f>+L552+L570</f>
        <v>0</v>
      </c>
      <c r="M536" s="37">
        <f>SUM(F536:I536)</f>
        <v>0</v>
      </c>
      <c r="N536" s="3273"/>
      <c r="O536" s="563"/>
      <c r="P536" s="563"/>
    </row>
    <row r="537" spans="1:16" ht="12" hidden="1" customHeight="1">
      <c r="A537" s="3259"/>
      <c r="B537" s="1223" t="s">
        <v>78</v>
      </c>
      <c r="C537" s="1224"/>
      <c r="D537" s="36">
        <f>+D553</f>
        <v>0</v>
      </c>
      <c r="E537" s="36">
        <f>+E553</f>
        <v>0</v>
      </c>
      <c r="F537" s="36">
        <f t="shared" ref="F537:G538" si="285">+F553</f>
        <v>0</v>
      </c>
      <c r="G537" s="36">
        <f t="shared" si="285"/>
        <v>0</v>
      </c>
      <c r="H537" s="36">
        <f t="shared" ref="H537:L538" si="286">+H553</f>
        <v>0</v>
      </c>
      <c r="I537" s="36">
        <f t="shared" si="286"/>
        <v>0</v>
      </c>
      <c r="J537" s="36">
        <f t="shared" si="286"/>
        <v>0</v>
      </c>
      <c r="K537" s="36">
        <f t="shared" si="286"/>
        <v>0</v>
      </c>
      <c r="L537" s="36">
        <f t="shared" si="286"/>
        <v>0</v>
      </c>
      <c r="M537" s="37">
        <f>SUM(F537:I537)</f>
        <v>0</v>
      </c>
      <c r="N537" s="3273"/>
      <c r="P537" s="563"/>
    </row>
    <row r="538" spans="1:16" ht="12" hidden="1" customHeight="1">
      <c r="A538" s="3259"/>
      <c r="B538" s="1291" t="s">
        <v>52</v>
      </c>
      <c r="C538" s="1292"/>
      <c r="D538" s="36">
        <f>+D554</f>
        <v>0</v>
      </c>
      <c r="E538" s="36">
        <f>+E554</f>
        <v>0</v>
      </c>
      <c r="F538" s="36">
        <f t="shared" si="285"/>
        <v>0</v>
      </c>
      <c r="G538" s="36">
        <f t="shared" si="285"/>
        <v>0</v>
      </c>
      <c r="H538" s="36">
        <f t="shared" si="286"/>
        <v>0</v>
      </c>
      <c r="I538" s="36">
        <f t="shared" si="286"/>
        <v>0</v>
      </c>
      <c r="J538" s="36">
        <f t="shared" si="286"/>
        <v>0</v>
      </c>
      <c r="K538" s="36">
        <f t="shared" si="286"/>
        <v>0</v>
      </c>
      <c r="L538" s="36">
        <f t="shared" si="286"/>
        <v>0</v>
      </c>
      <c r="M538" s="37">
        <f>SUM(F538:I538)</f>
        <v>0</v>
      </c>
      <c r="N538" s="3273"/>
      <c r="O538" s="563"/>
      <c r="P538" s="563"/>
    </row>
    <row r="539" spans="1:16" s="1294" customFormat="1" ht="12" hidden="1" customHeight="1">
      <c r="A539" s="3259"/>
      <c r="B539" s="1226" t="s">
        <v>18</v>
      </c>
      <c r="C539" s="1293"/>
      <c r="D539" s="34">
        <f>+D540+D541</f>
        <v>0</v>
      </c>
      <c r="E539" s="34">
        <f>+E540+E541</f>
        <v>0</v>
      </c>
      <c r="F539" s="34">
        <f t="shared" ref="F539:G539" si="287">+F540+F541</f>
        <v>0</v>
      </c>
      <c r="G539" s="34">
        <f t="shared" si="287"/>
        <v>0</v>
      </c>
      <c r="H539" s="34">
        <f t="shared" ref="H539:M539" si="288">+H540+H541</f>
        <v>0</v>
      </c>
      <c r="I539" s="34">
        <f t="shared" si="288"/>
        <v>0</v>
      </c>
      <c r="J539" s="34">
        <f t="shared" si="288"/>
        <v>0</v>
      </c>
      <c r="K539" s="34">
        <f t="shared" si="288"/>
        <v>0</v>
      </c>
      <c r="L539" s="34">
        <f t="shared" si="288"/>
        <v>0</v>
      </c>
      <c r="M539" s="147">
        <f t="shared" si="288"/>
        <v>0</v>
      </c>
      <c r="N539" s="3273"/>
      <c r="O539" s="1208"/>
      <c r="P539" s="1208"/>
    </row>
    <row r="540" spans="1:16" ht="12" hidden="1" customHeight="1">
      <c r="A540" s="3259"/>
      <c r="B540" s="1227" t="s">
        <v>21</v>
      </c>
      <c r="C540" s="1292"/>
      <c r="D540" s="36">
        <f>+D556+D572</f>
        <v>0</v>
      </c>
      <c r="E540" s="36">
        <f>+E556+E572</f>
        <v>0</v>
      </c>
      <c r="F540" s="36">
        <f t="shared" ref="F540:G540" si="289">+F556+F572</f>
        <v>0</v>
      </c>
      <c r="G540" s="36">
        <f t="shared" si="289"/>
        <v>0</v>
      </c>
      <c r="H540" s="36">
        <f>+H556+H572</f>
        <v>0</v>
      </c>
      <c r="I540" s="36">
        <f>+I556+I572</f>
        <v>0</v>
      </c>
      <c r="J540" s="36">
        <f>+J556+J572</f>
        <v>0</v>
      </c>
      <c r="K540" s="36">
        <f>+K556+K572</f>
        <v>0</v>
      </c>
      <c r="L540" s="36">
        <f>+L556+L572</f>
        <v>0</v>
      </c>
      <c r="M540" s="37">
        <f>SUM(F540:I540)</f>
        <v>0</v>
      </c>
      <c r="N540" s="3273"/>
      <c r="O540" s="563"/>
      <c r="P540" s="563"/>
    </row>
    <row r="541" spans="1:16" ht="12" hidden="1" customHeight="1">
      <c r="A541" s="3259"/>
      <c r="B541" s="1227" t="s">
        <v>79</v>
      </c>
      <c r="C541" s="1292"/>
      <c r="D541" s="36">
        <f>+D557</f>
        <v>0</v>
      </c>
      <c r="E541" s="36">
        <f>+E557</f>
        <v>0</v>
      </c>
      <c r="F541" s="36">
        <f t="shared" ref="F541:G541" si="290">+F557</f>
        <v>0</v>
      </c>
      <c r="G541" s="36">
        <f t="shared" si="290"/>
        <v>0</v>
      </c>
      <c r="H541" s="36">
        <f>+H557</f>
        <v>0</v>
      </c>
      <c r="I541" s="36">
        <f>+I557</f>
        <v>0</v>
      </c>
      <c r="J541" s="36">
        <f>+J557</f>
        <v>0</v>
      </c>
      <c r="K541" s="36">
        <f>+K557</f>
        <v>0</v>
      </c>
      <c r="L541" s="36">
        <f>+L557</f>
        <v>0</v>
      </c>
      <c r="M541" s="37">
        <f>SUM(F541:I541)</f>
        <v>0</v>
      </c>
      <c r="N541" s="3273"/>
      <c r="O541" s="563"/>
      <c r="P541" s="563"/>
    </row>
    <row r="542" spans="1:16" ht="12" hidden="1" customHeight="1">
      <c r="A542" s="3259"/>
      <c r="B542" s="21" t="s">
        <v>22</v>
      </c>
      <c r="C542" s="22"/>
      <c r="D542" s="224">
        <f>+D543+D546</f>
        <v>0</v>
      </c>
      <c r="E542" s="224">
        <f>+E543+E546</f>
        <v>0</v>
      </c>
      <c r="F542" s="224">
        <f t="shared" ref="F542:G542" si="291">+F543+F546</f>
        <v>0</v>
      </c>
      <c r="G542" s="224">
        <f t="shared" si="291"/>
        <v>0</v>
      </c>
      <c r="H542" s="224">
        <f>+H543+H546</f>
        <v>0</v>
      </c>
      <c r="I542" s="224">
        <f>+I543+I546</f>
        <v>0</v>
      </c>
      <c r="J542" s="224">
        <f>+J543+J546</f>
        <v>0</v>
      </c>
      <c r="K542" s="224">
        <f>+K543+K546</f>
        <v>0</v>
      </c>
      <c r="L542" s="224">
        <f>+L543+L546</f>
        <v>0</v>
      </c>
      <c r="M542" s="3169" t="s">
        <v>23</v>
      </c>
      <c r="N542" s="3273"/>
    </row>
    <row r="543" spans="1:16" ht="12" hidden="1" customHeight="1">
      <c r="A543" s="3259"/>
      <c r="B543" s="1295" t="s">
        <v>24</v>
      </c>
      <c r="C543" s="1296"/>
      <c r="D543" s="137">
        <f>+D544+D545</f>
        <v>0</v>
      </c>
      <c r="E543" s="137">
        <f>+E544+E545</f>
        <v>0</v>
      </c>
      <c r="F543" s="137">
        <f t="shared" ref="F543:G543" si="292">+F544+F545</f>
        <v>0</v>
      </c>
      <c r="G543" s="137">
        <f t="shared" si="292"/>
        <v>0</v>
      </c>
      <c r="H543" s="137">
        <f>+H544+H545</f>
        <v>0</v>
      </c>
      <c r="I543" s="137">
        <f>+I544+I545</f>
        <v>0</v>
      </c>
      <c r="J543" s="137">
        <f>+J544+J545</f>
        <v>0</v>
      </c>
      <c r="K543" s="137">
        <f>+K544+K545</f>
        <v>0</v>
      </c>
      <c r="L543" s="137">
        <f>+L544+L545</f>
        <v>0</v>
      </c>
      <c r="M543" s="3162"/>
      <c r="N543" s="3273"/>
      <c r="O543" s="563"/>
    </row>
    <row r="544" spans="1:16" ht="12" hidden="1" customHeight="1">
      <c r="A544" s="3259"/>
      <c r="B544" s="297" t="s">
        <v>78</v>
      </c>
      <c r="C544" s="1292"/>
      <c r="D544" s="36">
        <f>+D560</f>
        <v>0</v>
      </c>
      <c r="E544" s="36">
        <f>+E560</f>
        <v>0</v>
      </c>
      <c r="F544" s="36">
        <f t="shared" ref="F544:L544" si="293">+F560</f>
        <v>0</v>
      </c>
      <c r="G544" s="36">
        <f t="shared" si="293"/>
        <v>0</v>
      </c>
      <c r="H544" s="36">
        <f t="shared" si="293"/>
        <v>0</v>
      </c>
      <c r="I544" s="36">
        <f t="shared" si="293"/>
        <v>0</v>
      </c>
      <c r="J544" s="36">
        <f t="shared" si="293"/>
        <v>0</v>
      </c>
      <c r="K544" s="36">
        <f t="shared" si="293"/>
        <v>0</v>
      </c>
      <c r="L544" s="36">
        <f t="shared" si="293"/>
        <v>0</v>
      </c>
      <c r="M544" s="3162"/>
      <c r="N544" s="3273"/>
    </row>
    <row r="545" spans="1:15" ht="12" hidden="1" customHeight="1">
      <c r="A545" s="3259"/>
      <c r="B545" s="1297" t="s">
        <v>52</v>
      </c>
      <c r="C545" s="148"/>
      <c r="D545" s="36">
        <f>+D562</f>
        <v>0</v>
      </c>
      <c r="E545" s="36">
        <f>+E562</f>
        <v>0</v>
      </c>
      <c r="F545" s="36">
        <f t="shared" ref="F545:L545" si="294">+F562</f>
        <v>0</v>
      </c>
      <c r="G545" s="36">
        <f t="shared" si="294"/>
        <v>0</v>
      </c>
      <c r="H545" s="36">
        <f t="shared" si="294"/>
        <v>0</v>
      </c>
      <c r="I545" s="36">
        <f t="shared" si="294"/>
        <v>0</v>
      </c>
      <c r="J545" s="36">
        <f t="shared" si="294"/>
        <v>0</v>
      </c>
      <c r="K545" s="36">
        <f t="shared" si="294"/>
        <v>0</v>
      </c>
      <c r="L545" s="36">
        <f t="shared" si="294"/>
        <v>0</v>
      </c>
      <c r="M545" s="3162"/>
      <c r="N545" s="3273"/>
    </row>
    <row r="546" spans="1:15" s="1294" customFormat="1" ht="12" hidden="1" customHeight="1">
      <c r="A546" s="3259"/>
      <c r="B546" s="1298" t="s">
        <v>18</v>
      </c>
      <c r="C546" s="1293"/>
      <c r="D546" s="149">
        <f>+D547+D548</f>
        <v>0</v>
      </c>
      <c r="E546" s="149">
        <f>+E547+E548</f>
        <v>0</v>
      </c>
      <c r="F546" s="149">
        <f t="shared" ref="F546:G546" si="295">+F547+F548</f>
        <v>0</v>
      </c>
      <c r="G546" s="149">
        <f t="shared" si="295"/>
        <v>0</v>
      </c>
      <c r="H546" s="149">
        <f>+H547+H548</f>
        <v>0</v>
      </c>
      <c r="I546" s="149">
        <f>+I547+I548</f>
        <v>0</v>
      </c>
      <c r="J546" s="149">
        <f>+J547+J548</f>
        <v>0</v>
      </c>
      <c r="K546" s="149">
        <f>+K547+K548</f>
        <v>0</v>
      </c>
      <c r="L546" s="149">
        <f>+L547+L548</f>
        <v>0</v>
      </c>
      <c r="M546" s="3162"/>
      <c r="N546" s="3273"/>
    </row>
    <row r="547" spans="1:15" ht="12" hidden="1" customHeight="1">
      <c r="A547" s="3259"/>
      <c r="B547" s="1299" t="s">
        <v>21</v>
      </c>
      <c r="C547" s="1292"/>
      <c r="D547" s="36">
        <f>+D565+D575</f>
        <v>0</v>
      </c>
      <c r="E547" s="36">
        <f>+E565+E575</f>
        <v>0</v>
      </c>
      <c r="F547" s="36">
        <f t="shared" ref="F547:G547" si="296">+F565+F575</f>
        <v>0</v>
      </c>
      <c r="G547" s="36">
        <f t="shared" si="296"/>
        <v>0</v>
      </c>
      <c r="H547" s="36">
        <f>+H565+H575</f>
        <v>0</v>
      </c>
      <c r="I547" s="36">
        <f>+I565+I575</f>
        <v>0</v>
      </c>
      <c r="J547" s="36">
        <f>+J565+J575</f>
        <v>0</v>
      </c>
      <c r="K547" s="36">
        <f>+K565+K575</f>
        <v>0</v>
      </c>
      <c r="L547" s="36">
        <f>+L565+L575</f>
        <v>0</v>
      </c>
      <c r="M547" s="3162"/>
      <c r="N547" s="3273"/>
    </row>
    <row r="548" spans="1:15" ht="12" hidden="1" customHeight="1" thickBot="1">
      <c r="A548" s="3260"/>
      <c r="B548" s="1300" t="s">
        <v>79</v>
      </c>
      <c r="C548" s="1276"/>
      <c r="D548" s="140">
        <f>+D566</f>
        <v>0</v>
      </c>
      <c r="E548" s="140">
        <f>+E566</f>
        <v>0</v>
      </c>
      <c r="F548" s="140">
        <f t="shared" ref="F548:G548" si="297">+F566</f>
        <v>0</v>
      </c>
      <c r="G548" s="140">
        <f t="shared" si="297"/>
        <v>0</v>
      </c>
      <c r="H548" s="284">
        <f>+H566</f>
        <v>0</v>
      </c>
      <c r="I548" s="285">
        <f>+I566</f>
        <v>0</v>
      </c>
      <c r="J548" s="285">
        <f>+J566</f>
        <v>0</v>
      </c>
      <c r="K548" s="285">
        <f>+K566</f>
        <v>0</v>
      </c>
      <c r="L548" s="285">
        <f>+L566</f>
        <v>0</v>
      </c>
      <c r="M548" s="3163"/>
      <c r="N548" s="1301"/>
    </row>
    <row r="549" spans="1:15" hidden="1">
      <c r="A549" s="3133"/>
      <c r="B549" s="809"/>
      <c r="C549" s="64" t="s">
        <v>81</v>
      </c>
      <c r="D549" s="117"/>
      <c r="E549" s="119"/>
      <c r="F549" s="118"/>
      <c r="G549" s="810"/>
      <c r="H549" s="810"/>
      <c r="I549" s="810"/>
      <c r="J549" s="810"/>
      <c r="K549" s="810"/>
      <c r="L549" s="810"/>
      <c r="M549" s="46"/>
      <c r="N549" s="3094" t="s">
        <v>107</v>
      </c>
    </row>
    <row r="550" spans="1:15" ht="15" hidden="1" customHeight="1">
      <c r="A550" s="3134"/>
      <c r="B550" s="21" t="s">
        <v>10</v>
      </c>
      <c r="C550" s="22"/>
      <c r="D550" s="120">
        <f t="shared" ref="D550:I550" si="298">+D551+D555</f>
        <v>0</v>
      </c>
      <c r="E550" s="120">
        <f t="shared" si="298"/>
        <v>0</v>
      </c>
      <c r="F550" s="120">
        <f t="shared" si="298"/>
        <v>0</v>
      </c>
      <c r="G550" s="120">
        <f t="shared" si="298"/>
        <v>0</v>
      </c>
      <c r="H550" s="120">
        <f t="shared" si="298"/>
        <v>0</v>
      </c>
      <c r="I550" s="120">
        <f t="shared" si="298"/>
        <v>0</v>
      </c>
      <c r="J550" s="120"/>
      <c r="K550" s="120"/>
      <c r="L550" s="120"/>
      <c r="M550" s="33">
        <f>+M551+M555</f>
        <v>0</v>
      </c>
      <c r="N550" s="3095"/>
      <c r="O550" s="563" t="e">
        <f>+#REF!+#REF!</f>
        <v>#REF!</v>
      </c>
    </row>
    <row r="551" spans="1:15" hidden="1">
      <c r="A551" s="3134"/>
      <c r="B551" s="189" t="s">
        <v>24</v>
      </c>
      <c r="C551" s="3091" t="s">
        <v>100</v>
      </c>
      <c r="D551" s="121">
        <f t="shared" ref="D551:I551" si="299">+D552+D553+D554</f>
        <v>0</v>
      </c>
      <c r="E551" s="122">
        <f t="shared" si="299"/>
        <v>0</v>
      </c>
      <c r="F551" s="121">
        <f t="shared" si="299"/>
        <v>0</v>
      </c>
      <c r="G551" s="121">
        <f t="shared" si="299"/>
        <v>0</v>
      </c>
      <c r="H551" s="121">
        <f t="shared" si="299"/>
        <v>0</v>
      </c>
      <c r="I551" s="121">
        <f t="shared" si="299"/>
        <v>0</v>
      </c>
      <c r="J551" s="123"/>
      <c r="K551" s="123"/>
      <c r="L551" s="123"/>
      <c r="M551" s="88">
        <f>+M552+M553+M554</f>
        <v>0</v>
      </c>
      <c r="N551" s="3095"/>
    </row>
    <row r="552" spans="1:15" ht="11.25" hidden="1" customHeight="1">
      <c r="A552" s="3134"/>
      <c r="B552" s="534" t="s">
        <v>12</v>
      </c>
      <c r="C552" s="3149"/>
      <c r="D552" s="280">
        <f t="shared" ref="D552:D557" si="300">E552+F552+G552+H552+I552+J552+K552+L552</f>
        <v>0</v>
      </c>
      <c r="E552" s="321"/>
      <c r="F552" s="811">
        <v>0</v>
      </c>
      <c r="G552" s="811">
        <v>0</v>
      </c>
      <c r="H552" s="811">
        <v>0</v>
      </c>
      <c r="I552" s="811">
        <v>0</v>
      </c>
      <c r="J552" s="812"/>
      <c r="K552" s="812"/>
      <c r="L552" s="812"/>
      <c r="M552" s="37">
        <f>SUM(F552:I552)</f>
        <v>0</v>
      </c>
      <c r="N552" s="3095"/>
      <c r="O552" s="563"/>
    </row>
    <row r="553" spans="1:15" hidden="1">
      <c r="A553" s="3134"/>
      <c r="B553" s="150" t="s">
        <v>78</v>
      </c>
      <c r="C553" s="3149"/>
      <c r="D553" s="280">
        <f t="shared" si="300"/>
        <v>0</v>
      </c>
      <c r="E553" s="321"/>
      <c r="F553" s="151">
        <v>0</v>
      </c>
      <c r="G553" s="151">
        <v>0</v>
      </c>
      <c r="H553" s="151">
        <v>0</v>
      </c>
      <c r="I553" s="151">
        <v>0</v>
      </c>
      <c r="J553" s="127"/>
      <c r="K553" s="127"/>
      <c r="L553" s="127"/>
      <c r="M553" s="37">
        <f>SUM(F553:I553)</f>
        <v>0</v>
      </c>
      <c r="N553" s="3095"/>
    </row>
    <row r="554" spans="1:15" ht="12" hidden="1" customHeight="1">
      <c r="A554" s="3134"/>
      <c r="B554" s="738" t="s">
        <v>108</v>
      </c>
      <c r="C554" s="3092"/>
      <c r="D554" s="280">
        <f t="shared" si="300"/>
        <v>0</v>
      </c>
      <c r="E554" s="321"/>
      <c r="F554" s="811">
        <v>0</v>
      </c>
      <c r="G554" s="811">
        <v>0</v>
      </c>
      <c r="H554" s="811">
        <v>0</v>
      </c>
      <c r="I554" s="811">
        <v>0</v>
      </c>
      <c r="J554" s="812"/>
      <c r="K554" s="812"/>
      <c r="L554" s="812"/>
      <c r="M554" s="37">
        <f>SUM(F554:I554)</f>
        <v>0</v>
      </c>
      <c r="N554" s="3095"/>
    </row>
    <row r="555" spans="1:15" s="1294" customFormat="1" hidden="1">
      <c r="A555" s="3134"/>
      <c r="B555" s="577" t="s">
        <v>18</v>
      </c>
      <c r="C555" s="813"/>
      <c r="D555" s="53">
        <f>+D556+D557</f>
        <v>0</v>
      </c>
      <c r="E555" s="814">
        <f t="shared" ref="E555:M555" si="301">+E556+E557</f>
        <v>0</v>
      </c>
      <c r="F555" s="814">
        <f t="shared" si="301"/>
        <v>0</v>
      </c>
      <c r="G555" s="814">
        <f t="shared" si="301"/>
        <v>0</v>
      </c>
      <c r="H555" s="814">
        <f t="shared" si="301"/>
        <v>0</v>
      </c>
      <c r="I555" s="814">
        <f t="shared" si="301"/>
        <v>0</v>
      </c>
      <c r="J555" s="814"/>
      <c r="K555" s="814"/>
      <c r="L555" s="814"/>
      <c r="M555" s="88">
        <f t="shared" si="301"/>
        <v>0</v>
      </c>
      <c r="N555" s="3095"/>
    </row>
    <row r="556" spans="1:15" hidden="1">
      <c r="A556" s="3134"/>
      <c r="B556" s="1243" t="s">
        <v>21</v>
      </c>
      <c r="C556" s="2990"/>
      <c r="D556" s="280">
        <f t="shared" si="300"/>
        <v>0</v>
      </c>
      <c r="E556" s="321"/>
      <c r="F556" s="812">
        <v>0</v>
      </c>
      <c r="G556" s="812">
        <v>0</v>
      </c>
      <c r="H556" s="812">
        <v>0</v>
      </c>
      <c r="I556" s="812">
        <v>0</v>
      </c>
      <c r="J556" s="812"/>
      <c r="K556" s="812"/>
      <c r="L556" s="812"/>
      <c r="M556" s="37">
        <f>SUM(F556:I556)</f>
        <v>0</v>
      </c>
      <c r="N556" s="3095"/>
    </row>
    <row r="557" spans="1:15" ht="12" hidden="1" customHeight="1">
      <c r="A557" s="3134"/>
      <c r="B557" s="1243" t="s">
        <v>79</v>
      </c>
      <c r="C557" s="2990"/>
      <c r="D557" s="280">
        <f t="shared" si="300"/>
        <v>0</v>
      </c>
      <c r="E557" s="321"/>
      <c r="F557" s="812">
        <v>0</v>
      </c>
      <c r="G557" s="812">
        <v>0</v>
      </c>
      <c r="H557" s="812">
        <v>0</v>
      </c>
      <c r="I557" s="812">
        <v>0</v>
      </c>
      <c r="J557" s="812"/>
      <c r="K557" s="812"/>
      <c r="L557" s="812"/>
      <c r="M557" s="37">
        <f>SUM(F557:I557)</f>
        <v>0</v>
      </c>
      <c r="N557" s="3095"/>
    </row>
    <row r="558" spans="1:15" ht="14.25" hidden="1" customHeight="1">
      <c r="A558" s="3134"/>
      <c r="B558" s="21" t="s">
        <v>22</v>
      </c>
      <c r="C558" s="22"/>
      <c r="D558" s="224">
        <f t="shared" ref="D558:I558" si="302">+D559+D563</f>
        <v>0</v>
      </c>
      <c r="E558" s="224">
        <f t="shared" si="302"/>
        <v>0</v>
      </c>
      <c r="F558" s="224">
        <f t="shared" si="302"/>
        <v>0</v>
      </c>
      <c r="G558" s="224">
        <f t="shared" si="302"/>
        <v>0</v>
      </c>
      <c r="H558" s="224">
        <f t="shared" si="302"/>
        <v>0</v>
      </c>
      <c r="I558" s="224">
        <f t="shared" si="302"/>
        <v>0</v>
      </c>
      <c r="J558" s="224"/>
      <c r="K558" s="224"/>
      <c r="L558" s="224"/>
      <c r="M558" s="3169" t="s">
        <v>23</v>
      </c>
      <c r="N558" s="3095"/>
      <c r="O558" s="563"/>
    </row>
    <row r="559" spans="1:15" s="1302" customFormat="1" ht="12.75" hidden="1" customHeight="1">
      <c r="A559" s="3134"/>
      <c r="B559" s="189" t="s">
        <v>24</v>
      </c>
      <c r="C559" s="3091" t="s">
        <v>100</v>
      </c>
      <c r="D559" s="1123">
        <f>+D560+D561+D562</f>
        <v>0</v>
      </c>
      <c r="E559" s="1123">
        <f>SUM(E560:E562)</f>
        <v>0</v>
      </c>
      <c r="F559" s="1123">
        <f>+F560+F562</f>
        <v>0</v>
      </c>
      <c r="G559" s="1123">
        <f>+G560+G562</f>
        <v>0</v>
      </c>
      <c r="H559" s="1123">
        <f>+H560+H562</f>
        <v>0</v>
      </c>
      <c r="I559" s="1123">
        <f>+I560+I562</f>
        <v>0</v>
      </c>
      <c r="J559" s="1123"/>
      <c r="K559" s="1123"/>
      <c r="L559" s="1123"/>
      <c r="M559" s="3162"/>
      <c r="N559" s="3095"/>
    </row>
    <row r="560" spans="1:15" s="298" customFormat="1" hidden="1">
      <c r="A560" s="3134"/>
      <c r="B560" s="150" t="s">
        <v>109</v>
      </c>
      <c r="C560" s="3149"/>
      <c r="D560" s="280">
        <f t="shared" ref="D560:D562" si="303">E560+F560+G560+H560+I560+J560+K560+L560</f>
        <v>0</v>
      </c>
      <c r="E560" s="321"/>
      <c r="F560" s="1303">
        <v>0</v>
      </c>
      <c r="G560" s="1303">
        <v>0</v>
      </c>
      <c r="H560" s="1303">
        <v>0</v>
      </c>
      <c r="I560" s="1303">
        <v>0</v>
      </c>
      <c r="J560" s="1303"/>
      <c r="K560" s="1303"/>
      <c r="L560" s="1303"/>
      <c r="M560" s="3162"/>
      <c r="N560" s="3095"/>
      <c r="O560" s="1266">
        <v>-14575000</v>
      </c>
    </row>
    <row r="561" spans="1:18" s="298" customFormat="1" ht="10.5" hidden="1" customHeight="1">
      <c r="A561" s="3134"/>
      <c r="B561" s="1304" t="s">
        <v>110</v>
      </c>
      <c r="C561" s="3149"/>
      <c r="D561" s="280">
        <f t="shared" si="303"/>
        <v>0</v>
      </c>
      <c r="E561" s="321"/>
      <c r="F561" s="1303"/>
      <c r="G561" s="1303"/>
      <c r="H561" s="1303"/>
      <c r="I561" s="1303"/>
      <c r="J561" s="1303"/>
      <c r="K561" s="1303"/>
      <c r="L561" s="1303"/>
      <c r="M561" s="3162"/>
      <c r="N561" s="3095"/>
    </row>
    <row r="562" spans="1:18" s="298" customFormat="1" hidden="1">
      <c r="A562" s="3134"/>
      <c r="B562" s="738" t="s">
        <v>108</v>
      </c>
      <c r="C562" s="3149"/>
      <c r="D562" s="280">
        <f t="shared" si="303"/>
        <v>0</v>
      </c>
      <c r="E562" s="321"/>
      <c r="F562" s="811">
        <v>0</v>
      </c>
      <c r="G562" s="811">
        <v>0</v>
      </c>
      <c r="H562" s="811">
        <v>0</v>
      </c>
      <c r="I562" s="811">
        <v>0</v>
      </c>
      <c r="J562" s="811"/>
      <c r="K562" s="811"/>
      <c r="L562" s="811"/>
      <c r="M562" s="3162"/>
      <c r="N562" s="3095"/>
      <c r="O562" s="1266"/>
    </row>
    <row r="563" spans="1:18" s="1302" customFormat="1" hidden="1">
      <c r="A563" s="3134"/>
      <c r="B563" s="1305" t="s">
        <v>18</v>
      </c>
      <c r="C563" s="3149"/>
      <c r="D563" s="57">
        <f>+D564+D565+D566</f>
        <v>0</v>
      </c>
      <c r="E563" s="1128"/>
      <c r="F563" s="1128">
        <f>+F565</f>
        <v>0</v>
      </c>
      <c r="G563" s="1128">
        <f>+G565</f>
        <v>0</v>
      </c>
      <c r="H563" s="1128">
        <f>+H565</f>
        <v>0</v>
      </c>
      <c r="I563" s="1128">
        <f>+I565</f>
        <v>0</v>
      </c>
      <c r="J563" s="1128"/>
      <c r="K563" s="1128"/>
      <c r="L563" s="1128"/>
      <c r="M563" s="3162"/>
      <c r="N563" s="3095"/>
    </row>
    <row r="564" spans="1:18" s="1302" customFormat="1" ht="10.5" hidden="1" customHeight="1">
      <c r="A564" s="3134"/>
      <c r="B564" s="1304" t="s">
        <v>110</v>
      </c>
      <c r="C564" s="3149"/>
      <c r="D564" s="280">
        <f t="shared" ref="D564:D566" si="304">E564+F564+G564+H564+I564+J564+K564+L564</f>
        <v>0</v>
      </c>
      <c r="E564" s="2785"/>
      <c r="F564" s="1306"/>
      <c r="G564" s="1306"/>
      <c r="H564" s="1306"/>
      <c r="I564" s="1306"/>
      <c r="J564" s="1306"/>
      <c r="K564" s="1306"/>
      <c r="L564" s="1306"/>
      <c r="M564" s="3162"/>
      <c r="N564" s="3095"/>
    </row>
    <row r="565" spans="1:18" s="298" customFormat="1" hidden="1">
      <c r="A565" s="3134"/>
      <c r="B565" s="534" t="s">
        <v>21</v>
      </c>
      <c r="C565" s="3149"/>
      <c r="D565" s="280">
        <f t="shared" si="304"/>
        <v>0</v>
      </c>
      <c r="E565" s="321"/>
      <c r="F565" s="816">
        <v>0</v>
      </c>
      <c r="G565" s="816">
        <v>0</v>
      </c>
      <c r="H565" s="816">
        <v>0</v>
      </c>
      <c r="I565" s="816">
        <v>0</v>
      </c>
      <c r="J565" s="816"/>
      <c r="K565" s="816"/>
      <c r="L565" s="816"/>
      <c r="M565" s="3162"/>
      <c r="N565" s="3095"/>
      <c r="O565" s="1266"/>
    </row>
    <row r="566" spans="1:18" s="298" customFormat="1" ht="11.25" hidden="1" customHeight="1" thickBot="1">
      <c r="A566" s="3171"/>
      <c r="B566" s="84" t="s">
        <v>79</v>
      </c>
      <c r="C566" s="3137"/>
      <c r="D566" s="280">
        <f t="shared" si="304"/>
        <v>0</v>
      </c>
      <c r="E566" s="61"/>
      <c r="F566" s="817">
        <v>0</v>
      </c>
      <c r="G566" s="817">
        <v>0</v>
      </c>
      <c r="H566" s="818">
        <v>0</v>
      </c>
      <c r="I566" s="195">
        <v>0</v>
      </c>
      <c r="J566" s="195"/>
      <c r="K566" s="195"/>
      <c r="L566" s="195"/>
      <c r="M566" s="3163"/>
      <c r="N566" s="2988"/>
    </row>
    <row r="567" spans="1:18" hidden="1">
      <c r="A567" s="3133"/>
      <c r="B567" s="317"/>
      <c r="C567" s="64" t="s">
        <v>111</v>
      </c>
      <c r="D567" s="1252"/>
      <c r="E567" s="106"/>
      <c r="F567" s="107"/>
      <c r="G567" s="107"/>
      <c r="H567" s="107"/>
      <c r="I567" s="107"/>
      <c r="J567" s="107"/>
      <c r="K567" s="107"/>
      <c r="L567" s="107"/>
      <c r="M567" s="46"/>
      <c r="N567" s="3143" t="s">
        <v>104</v>
      </c>
      <c r="R567" s="1242"/>
    </row>
    <row r="568" spans="1:18" ht="14.25" hidden="1" customHeight="1">
      <c r="A568" s="3134"/>
      <c r="B568" s="21" t="s">
        <v>10</v>
      </c>
      <c r="C568" s="22"/>
      <c r="D568" s="69">
        <f t="shared" ref="D568" si="305">+D569+D571</f>
        <v>0</v>
      </c>
      <c r="E568" s="69">
        <f>+E569+E571</f>
        <v>0</v>
      </c>
      <c r="F568" s="69"/>
      <c r="G568" s="69"/>
      <c r="H568" s="70"/>
      <c r="I568" s="69"/>
      <c r="J568" s="69"/>
      <c r="K568" s="69"/>
      <c r="L568" s="69"/>
      <c r="M568" s="71">
        <f>+M569+M571</f>
        <v>0</v>
      </c>
      <c r="N568" s="3153"/>
      <c r="O568" s="563" t="e">
        <f>+#REF!+#REF!+F568+G568</f>
        <v>#REF!</v>
      </c>
      <c r="P568" s="563"/>
      <c r="Q568" s="563"/>
      <c r="R568" s="563"/>
    </row>
    <row r="569" spans="1:18" ht="14.25" hidden="1" customHeight="1">
      <c r="A569" s="3134"/>
      <c r="B569" s="189" t="s">
        <v>24</v>
      </c>
      <c r="C569" s="3091" t="s">
        <v>100</v>
      </c>
      <c r="D569" s="72">
        <f>+D570</f>
        <v>0</v>
      </c>
      <c r="E569" s="72">
        <f t="shared" ref="E569" si="306">+E570</f>
        <v>0</v>
      </c>
      <c r="F569" s="72"/>
      <c r="G569" s="72"/>
      <c r="H569" s="110"/>
      <c r="I569" s="72"/>
      <c r="J569" s="72"/>
      <c r="K569" s="72"/>
      <c r="L569" s="72"/>
      <c r="M569" s="88">
        <f>+M570</f>
        <v>0</v>
      </c>
      <c r="N569" s="3153"/>
      <c r="O569" s="563"/>
    </row>
    <row r="570" spans="1:18" hidden="1">
      <c r="A570" s="3134"/>
      <c r="B570" s="520" t="s">
        <v>12</v>
      </c>
      <c r="C570" s="3147"/>
      <c r="D570" s="280">
        <f t="shared" ref="D570" si="307">E570+F570+G570+H570+I570+J570+K570+L570</f>
        <v>0</v>
      </c>
      <c r="E570" s="321"/>
      <c r="F570" s="52"/>
      <c r="G570" s="52"/>
      <c r="H570" s="51"/>
      <c r="I570" s="52"/>
      <c r="J570" s="52"/>
      <c r="K570" s="52"/>
      <c r="L570" s="52"/>
      <c r="M570" s="37">
        <f>SUM(F570:I570)</f>
        <v>0</v>
      </c>
      <c r="N570" s="3153"/>
    </row>
    <row r="571" spans="1:18" ht="14.25" hidden="1" customHeight="1">
      <c r="A571" s="3134"/>
      <c r="B571" s="577" t="s">
        <v>18</v>
      </c>
      <c r="C571" s="3147"/>
      <c r="D571" s="53">
        <f>+D572</f>
        <v>0</v>
      </c>
      <c r="E571" s="53">
        <f t="shared" ref="E571" si="308">+E572</f>
        <v>0</v>
      </c>
      <c r="F571" s="53"/>
      <c r="G571" s="53"/>
      <c r="H571" s="54"/>
      <c r="I571" s="53"/>
      <c r="J571" s="53"/>
      <c r="K571" s="53"/>
      <c r="L571" s="53"/>
      <c r="M571" s="88">
        <f>+M572</f>
        <v>0</v>
      </c>
      <c r="N571" s="3153"/>
    </row>
    <row r="572" spans="1:18" hidden="1">
      <c r="A572" s="3134"/>
      <c r="B572" s="1260" t="s">
        <v>21</v>
      </c>
      <c r="C572" s="3147"/>
      <c r="D572" s="280">
        <f t="shared" ref="D572" si="309">E572+F572+G572+H572+I572+J572+K572+L572</f>
        <v>0</v>
      </c>
      <c r="E572" s="321"/>
      <c r="F572" s="52"/>
      <c r="G572" s="52"/>
      <c r="H572" s="51"/>
      <c r="I572" s="52"/>
      <c r="J572" s="52"/>
      <c r="K572" s="52"/>
      <c r="L572" s="52"/>
      <c r="M572" s="37">
        <f>SUM(F572:I572)</f>
        <v>0</v>
      </c>
      <c r="N572" s="3153"/>
    </row>
    <row r="573" spans="1:18" ht="14.25" hidden="1" customHeight="1">
      <c r="A573" s="3135"/>
      <c r="B573" s="21" t="s">
        <v>22</v>
      </c>
      <c r="C573" s="22"/>
      <c r="D573" s="224">
        <f>+D574</f>
        <v>0</v>
      </c>
      <c r="E573" s="224">
        <f t="shared" ref="E573" si="310">+E574</f>
        <v>0</v>
      </c>
      <c r="F573" s="224"/>
      <c r="G573" s="224"/>
      <c r="H573" s="225"/>
      <c r="I573" s="224"/>
      <c r="J573" s="224"/>
      <c r="K573" s="224"/>
      <c r="L573" s="224"/>
      <c r="M573" s="3121" t="s">
        <v>23</v>
      </c>
      <c r="N573" s="3211"/>
      <c r="O573" s="563"/>
    </row>
    <row r="574" spans="1:18" s="298" customFormat="1" ht="14.25" hidden="1" customHeight="1">
      <c r="A574" s="3135"/>
      <c r="B574" s="577" t="s">
        <v>18</v>
      </c>
      <c r="C574" s="3091" t="s">
        <v>100</v>
      </c>
      <c r="D574" s="1123">
        <f>+D575</f>
        <v>0</v>
      </c>
      <c r="E574" s="1123"/>
      <c r="F574" s="1123"/>
      <c r="G574" s="1123"/>
      <c r="H574" s="1128"/>
      <c r="I574" s="1123"/>
      <c r="J574" s="1123"/>
      <c r="K574" s="1123"/>
      <c r="L574" s="1123"/>
      <c r="M574" s="3122"/>
      <c r="N574" s="3211"/>
    </row>
    <row r="575" spans="1:18" s="298" customFormat="1" ht="14.25" hidden="1" customHeight="1" thickBot="1">
      <c r="A575" s="3136"/>
      <c r="B575" s="60" t="s">
        <v>21</v>
      </c>
      <c r="C575" s="3120"/>
      <c r="D575" s="280">
        <f t="shared" ref="D575" si="311">E575+F575+G575+H575+I575+J575+K575+L575</f>
        <v>0</v>
      </c>
      <c r="E575" s="1254"/>
      <c r="F575" s="607"/>
      <c r="G575" s="607"/>
      <c r="H575" s="607"/>
      <c r="I575" s="607"/>
      <c r="J575" s="607"/>
      <c r="K575" s="607"/>
      <c r="L575" s="607"/>
      <c r="M575" s="3123"/>
      <c r="N575" s="3212"/>
    </row>
    <row r="576" spans="1:18" ht="27.75" hidden="1" customHeight="1">
      <c r="A576" s="3125" t="s">
        <v>303</v>
      </c>
      <c r="B576" s="237" t="s">
        <v>261</v>
      </c>
      <c r="C576" s="1307"/>
      <c r="D576" s="1284"/>
      <c r="E576" s="1285"/>
      <c r="F576" s="1285"/>
      <c r="G576" s="1285"/>
      <c r="H576" s="1285"/>
      <c r="I576" s="1285"/>
      <c r="J576" s="1285"/>
      <c r="K576" s="1285"/>
      <c r="L576" s="1285"/>
      <c r="M576" s="346"/>
      <c r="N576" s="3269"/>
    </row>
    <row r="577" spans="1:18" ht="14.25" hidden="1" customHeight="1">
      <c r="A577" s="3126"/>
      <c r="B577" s="21" t="s">
        <v>10</v>
      </c>
      <c r="C577" s="154"/>
      <c r="D577" s="146">
        <f>+D578+D580</f>
        <v>0</v>
      </c>
      <c r="E577" s="146">
        <f t="shared" ref="E577:M577" si="312">+E578+E580</f>
        <v>0</v>
      </c>
      <c r="F577" s="146">
        <f t="shared" si="312"/>
        <v>0</v>
      </c>
      <c r="G577" s="146">
        <f t="shared" si="312"/>
        <v>0</v>
      </c>
      <c r="H577" s="146">
        <f t="shared" si="312"/>
        <v>0</v>
      </c>
      <c r="I577" s="146">
        <f t="shared" si="312"/>
        <v>0</v>
      </c>
      <c r="J577" s="146">
        <f t="shared" si="312"/>
        <v>0</v>
      </c>
      <c r="K577" s="146">
        <f t="shared" si="312"/>
        <v>0</v>
      </c>
      <c r="L577" s="146">
        <f t="shared" si="312"/>
        <v>0</v>
      </c>
      <c r="M577" s="71">
        <f t="shared" si="312"/>
        <v>0</v>
      </c>
      <c r="N577" s="3270"/>
      <c r="O577" s="563" t="e">
        <f>+#REF!+#REF!+F577+G577</f>
        <v>#REF!</v>
      </c>
    </row>
    <row r="578" spans="1:18" ht="13.5" hidden="1" customHeight="1">
      <c r="A578" s="3126"/>
      <c r="B578" s="1308" t="s">
        <v>24</v>
      </c>
      <c r="C578" s="155"/>
      <c r="D578" s="137">
        <f>+D579</f>
        <v>0</v>
      </c>
      <c r="E578" s="137">
        <f t="shared" ref="E578:M578" si="313">+E579</f>
        <v>0</v>
      </c>
      <c r="F578" s="137">
        <f t="shared" si="313"/>
        <v>0</v>
      </c>
      <c r="G578" s="137">
        <f t="shared" si="313"/>
        <v>0</v>
      </c>
      <c r="H578" s="137">
        <f t="shared" si="313"/>
        <v>0</v>
      </c>
      <c r="I578" s="137">
        <f t="shared" si="313"/>
        <v>0</v>
      </c>
      <c r="J578" s="137">
        <f t="shared" si="313"/>
        <v>0</v>
      </c>
      <c r="K578" s="137">
        <f t="shared" si="313"/>
        <v>0</v>
      </c>
      <c r="L578" s="137">
        <f t="shared" si="313"/>
        <v>0</v>
      </c>
      <c r="M578" s="73">
        <f t="shared" si="313"/>
        <v>0</v>
      </c>
      <c r="N578" s="3270"/>
    </row>
    <row r="579" spans="1:18" hidden="1">
      <c r="A579" s="3126"/>
      <c r="B579" s="296" t="s">
        <v>12</v>
      </c>
      <c r="C579" s="156"/>
      <c r="D579" s="36">
        <f>+D588</f>
        <v>0</v>
      </c>
      <c r="E579" s="36">
        <f>+E588</f>
        <v>0</v>
      </c>
      <c r="F579" s="36">
        <f t="shared" ref="F579:I579" si="314">+F588</f>
        <v>0</v>
      </c>
      <c r="G579" s="36">
        <f t="shared" si="314"/>
        <v>0</v>
      </c>
      <c r="H579" s="36">
        <f t="shared" si="314"/>
        <v>0</v>
      </c>
      <c r="I579" s="36">
        <f t="shared" si="314"/>
        <v>0</v>
      </c>
      <c r="J579" s="36">
        <f>+J588</f>
        <v>0</v>
      </c>
      <c r="K579" s="36">
        <f>+K588</f>
        <v>0</v>
      </c>
      <c r="L579" s="36">
        <f>+L588</f>
        <v>0</v>
      </c>
      <c r="M579" s="37">
        <f>SUM(F579:I579)</f>
        <v>0</v>
      </c>
      <c r="N579" s="3270"/>
    </row>
    <row r="580" spans="1:18" ht="14.25" hidden="1" customHeight="1">
      <c r="A580" s="3126"/>
      <c r="B580" s="1309" t="s">
        <v>18</v>
      </c>
      <c r="C580" s="157"/>
      <c r="D580" s="34">
        <f>+D581</f>
        <v>0</v>
      </c>
      <c r="E580" s="34">
        <f t="shared" ref="E580:M580" si="315">+E581</f>
        <v>0</v>
      </c>
      <c r="F580" s="34">
        <f t="shared" si="315"/>
        <v>0</v>
      </c>
      <c r="G580" s="34">
        <f t="shared" si="315"/>
        <v>0</v>
      </c>
      <c r="H580" s="34">
        <f t="shared" si="315"/>
        <v>0</v>
      </c>
      <c r="I580" s="34">
        <f t="shared" si="315"/>
        <v>0</v>
      </c>
      <c r="J580" s="34">
        <f t="shared" si="315"/>
        <v>0</v>
      </c>
      <c r="K580" s="34">
        <f t="shared" si="315"/>
        <v>0</v>
      </c>
      <c r="L580" s="34">
        <f t="shared" si="315"/>
        <v>0</v>
      </c>
      <c r="M580" s="73">
        <f t="shared" si="315"/>
        <v>0</v>
      </c>
      <c r="N580" s="3270"/>
    </row>
    <row r="581" spans="1:18" ht="11.25" hidden="1" customHeight="1">
      <c r="A581" s="3126"/>
      <c r="B581" s="297" t="s">
        <v>20</v>
      </c>
      <c r="C581" s="156"/>
      <c r="D581" s="36">
        <f>+D590</f>
        <v>0</v>
      </c>
      <c r="E581" s="36">
        <f t="shared" ref="E581:I581" si="316">+E590</f>
        <v>0</v>
      </c>
      <c r="F581" s="36">
        <f t="shared" si="316"/>
        <v>0</v>
      </c>
      <c r="G581" s="36">
        <f t="shared" si="316"/>
        <v>0</v>
      </c>
      <c r="H581" s="36">
        <f t="shared" si="316"/>
        <v>0</v>
      </c>
      <c r="I581" s="36">
        <f t="shared" si="316"/>
        <v>0</v>
      </c>
      <c r="J581" s="36">
        <f>+J590</f>
        <v>0</v>
      </c>
      <c r="K581" s="36">
        <f>+K590</f>
        <v>0</v>
      </c>
      <c r="L581" s="36">
        <f>+L590</f>
        <v>0</v>
      </c>
      <c r="M581" s="37">
        <f>SUM(F581:I581)</f>
        <v>0</v>
      </c>
      <c r="N581" s="3270"/>
    </row>
    <row r="582" spans="1:18" ht="13.5" hidden="1" customHeight="1">
      <c r="A582" s="3126"/>
      <c r="B582" s="21" t="s">
        <v>22</v>
      </c>
      <c r="C582" s="154"/>
      <c r="D582" s="146">
        <f>+D583</f>
        <v>0</v>
      </c>
      <c r="E582" s="146">
        <f>+E583</f>
        <v>0</v>
      </c>
      <c r="F582" s="146">
        <f t="shared" ref="F582:L583" si="317">+F583</f>
        <v>0</v>
      </c>
      <c r="G582" s="146">
        <f t="shared" si="317"/>
        <v>0</v>
      </c>
      <c r="H582" s="146">
        <f t="shared" si="317"/>
        <v>0</v>
      </c>
      <c r="I582" s="146">
        <f t="shared" si="317"/>
        <v>0</v>
      </c>
      <c r="J582" s="146">
        <f t="shared" si="317"/>
        <v>0</v>
      </c>
      <c r="K582" s="146">
        <f t="shared" si="317"/>
        <v>0</v>
      </c>
      <c r="L582" s="146">
        <f t="shared" si="317"/>
        <v>0</v>
      </c>
      <c r="M582" s="3121" t="s">
        <v>23</v>
      </c>
      <c r="N582" s="3270"/>
    </row>
    <row r="583" spans="1:18" ht="12" hidden="1" customHeight="1">
      <c r="A583" s="3126"/>
      <c r="B583" s="1310" t="s">
        <v>18</v>
      </c>
      <c r="C583" s="155"/>
      <c r="D583" s="137">
        <f>+D584</f>
        <v>0</v>
      </c>
      <c r="E583" s="137">
        <f>+E584</f>
        <v>0</v>
      </c>
      <c r="F583" s="137">
        <f t="shared" si="317"/>
        <v>0</v>
      </c>
      <c r="G583" s="137">
        <f t="shared" si="317"/>
        <v>0</v>
      </c>
      <c r="H583" s="137">
        <f t="shared" si="317"/>
        <v>0</v>
      </c>
      <c r="I583" s="137">
        <f t="shared" si="317"/>
        <v>0</v>
      </c>
      <c r="J583" s="137">
        <f t="shared" si="317"/>
        <v>0</v>
      </c>
      <c r="K583" s="137">
        <f t="shared" si="317"/>
        <v>0</v>
      </c>
      <c r="L583" s="137">
        <f t="shared" si="317"/>
        <v>0</v>
      </c>
      <c r="M583" s="3122"/>
      <c r="N583" s="3270"/>
    </row>
    <row r="584" spans="1:18" ht="13.5" hidden="1" customHeight="1" thickBot="1">
      <c r="A584" s="3127"/>
      <c r="B584" s="297" t="s">
        <v>20</v>
      </c>
      <c r="C584" s="156"/>
      <c r="D584" s="36">
        <f>+D593</f>
        <v>0</v>
      </c>
      <c r="E584" s="36">
        <f t="shared" ref="E584:I584" si="318">+E593</f>
        <v>0</v>
      </c>
      <c r="F584" s="36">
        <f t="shared" si="318"/>
        <v>0</v>
      </c>
      <c r="G584" s="36">
        <f t="shared" si="318"/>
        <v>0</v>
      </c>
      <c r="H584" s="284">
        <f t="shared" si="318"/>
        <v>0</v>
      </c>
      <c r="I584" s="285">
        <f t="shared" si="318"/>
        <v>0</v>
      </c>
      <c r="J584" s="285">
        <f>+J593</f>
        <v>0</v>
      </c>
      <c r="K584" s="285">
        <f>+K593</f>
        <v>0</v>
      </c>
      <c r="L584" s="285">
        <f>+L593</f>
        <v>0</v>
      </c>
      <c r="M584" s="3123"/>
      <c r="N584" s="3271"/>
    </row>
    <row r="585" spans="1:18" hidden="1">
      <c r="A585" s="3133" t="s">
        <v>319</v>
      </c>
      <c r="B585" s="317"/>
      <c r="C585" s="64" t="s">
        <v>111</v>
      </c>
      <c r="D585" s="1252"/>
      <c r="E585" s="106"/>
      <c r="F585" s="107"/>
      <c r="G585" s="107"/>
      <c r="H585" s="276"/>
      <c r="I585" s="276"/>
      <c r="J585" s="276"/>
      <c r="K585" s="276"/>
      <c r="L585" s="276"/>
      <c r="M585" s="108"/>
      <c r="N585" s="3143" t="s">
        <v>112</v>
      </c>
      <c r="R585" s="1242"/>
    </row>
    <row r="586" spans="1:18" ht="14.25" hidden="1" customHeight="1">
      <c r="A586" s="3134"/>
      <c r="B586" s="21" t="s">
        <v>10</v>
      </c>
      <c r="C586" s="22"/>
      <c r="D586" s="69">
        <f>+D587+D589</f>
        <v>0</v>
      </c>
      <c r="E586" s="69">
        <f t="shared" ref="E586:M586" si="319">+E587+E589</f>
        <v>0</v>
      </c>
      <c r="F586" s="318">
        <f t="shared" si="319"/>
        <v>0</v>
      </c>
      <c r="G586" s="318">
        <f t="shared" si="319"/>
        <v>0</v>
      </c>
      <c r="H586" s="318">
        <f t="shared" si="319"/>
        <v>0</v>
      </c>
      <c r="I586" s="318">
        <f t="shared" si="319"/>
        <v>0</v>
      </c>
      <c r="J586" s="318">
        <f t="shared" si="319"/>
        <v>0</v>
      </c>
      <c r="K586" s="318">
        <f t="shared" si="319"/>
        <v>0</v>
      </c>
      <c r="L586" s="318">
        <f t="shared" si="319"/>
        <v>0</v>
      </c>
      <c r="M586" s="71">
        <f t="shared" si="319"/>
        <v>0</v>
      </c>
      <c r="N586" s="3153"/>
      <c r="O586" s="563" t="e">
        <f>+#REF!+#REF!+F586+G586</f>
        <v>#REF!</v>
      </c>
      <c r="P586" s="563"/>
      <c r="Q586" s="563"/>
      <c r="R586" s="563"/>
    </row>
    <row r="587" spans="1:18" ht="14.25" hidden="1" customHeight="1">
      <c r="A587" s="3134"/>
      <c r="B587" s="189" t="s">
        <v>24</v>
      </c>
      <c r="C587" s="3091" t="s">
        <v>113</v>
      </c>
      <c r="D587" s="72">
        <f>+D588</f>
        <v>0</v>
      </c>
      <c r="E587" s="72">
        <f t="shared" ref="E587:M587" si="320">+E588</f>
        <v>0</v>
      </c>
      <c r="F587" s="319">
        <f t="shared" si="320"/>
        <v>0</v>
      </c>
      <c r="G587" s="319">
        <f t="shared" si="320"/>
        <v>0</v>
      </c>
      <c r="H587" s="319">
        <f t="shared" si="320"/>
        <v>0</v>
      </c>
      <c r="I587" s="319">
        <f t="shared" si="320"/>
        <v>0</v>
      </c>
      <c r="J587" s="319">
        <f t="shared" si="320"/>
        <v>0</v>
      </c>
      <c r="K587" s="319">
        <f t="shared" si="320"/>
        <v>0</v>
      </c>
      <c r="L587" s="319">
        <f t="shared" si="320"/>
        <v>0</v>
      </c>
      <c r="M587" s="88">
        <f t="shared" si="320"/>
        <v>0</v>
      </c>
      <c r="N587" s="3153"/>
      <c r="O587" s="563"/>
    </row>
    <row r="588" spans="1:18" ht="14.25" hidden="1" customHeight="1">
      <c r="A588" s="3134"/>
      <c r="B588" s="520" t="s">
        <v>12</v>
      </c>
      <c r="C588" s="3147"/>
      <c r="D588" s="280">
        <f t="shared" ref="D588" si="321">E588+F588+G588+H588+I588+J588+K588+L588</f>
        <v>0</v>
      </c>
      <c r="E588" s="321"/>
      <c r="F588" s="507">
        <v>0</v>
      </c>
      <c r="G588" s="507">
        <v>0</v>
      </c>
      <c r="H588" s="507">
        <v>0</v>
      </c>
      <c r="I588" s="507">
        <v>0</v>
      </c>
      <c r="J588" s="507">
        <v>0</v>
      </c>
      <c r="K588" s="507">
        <v>0</v>
      </c>
      <c r="L588" s="507">
        <v>0</v>
      </c>
      <c r="M588" s="37">
        <f>SUM(F588:I588)</f>
        <v>0</v>
      </c>
      <c r="N588" s="3153"/>
    </row>
    <row r="589" spans="1:18" ht="14.25" hidden="1" customHeight="1">
      <c r="A589" s="3134"/>
      <c r="B589" s="577" t="s">
        <v>18</v>
      </c>
      <c r="C589" s="3147"/>
      <c r="D589" s="53">
        <f t="shared" ref="D589:M589" si="322">+D590</f>
        <v>0</v>
      </c>
      <c r="E589" s="53">
        <f t="shared" si="322"/>
        <v>0</v>
      </c>
      <c r="F589" s="300">
        <f t="shared" si="322"/>
        <v>0</v>
      </c>
      <c r="G589" s="300">
        <f t="shared" si="322"/>
        <v>0</v>
      </c>
      <c r="H589" s="300">
        <f t="shared" si="322"/>
        <v>0</v>
      </c>
      <c r="I589" s="300">
        <f t="shared" si="322"/>
        <v>0</v>
      </c>
      <c r="J589" s="300">
        <f t="shared" si="322"/>
        <v>0</v>
      </c>
      <c r="K589" s="300">
        <f t="shared" si="322"/>
        <v>0</v>
      </c>
      <c r="L589" s="300">
        <f t="shared" si="322"/>
        <v>0</v>
      </c>
      <c r="M589" s="88">
        <f t="shared" si="322"/>
        <v>0</v>
      </c>
      <c r="N589" s="3153"/>
    </row>
    <row r="590" spans="1:18" ht="14.25" hidden="1" customHeight="1">
      <c r="A590" s="3134"/>
      <c r="B590" s="1260" t="s">
        <v>20</v>
      </c>
      <c r="C590" s="3147"/>
      <c r="D590" s="280">
        <f t="shared" ref="D590" si="323">E590+F590+G590+H590+I590+J590+K590+L590</f>
        <v>0</v>
      </c>
      <c r="E590" s="321">
        <v>0</v>
      </c>
      <c r="F590" s="507">
        <v>0</v>
      </c>
      <c r="G590" s="507">
        <v>0</v>
      </c>
      <c r="H590" s="507">
        <v>0</v>
      </c>
      <c r="I590" s="507">
        <v>0</v>
      </c>
      <c r="J590" s="507">
        <v>0</v>
      </c>
      <c r="K590" s="507">
        <v>0</v>
      </c>
      <c r="L590" s="507">
        <v>0</v>
      </c>
      <c r="M590" s="37">
        <f>SUM(F590:I590)</f>
        <v>0</v>
      </c>
      <c r="N590" s="3153"/>
    </row>
    <row r="591" spans="1:18" ht="14.25" hidden="1" customHeight="1">
      <c r="A591" s="3135"/>
      <c r="B591" s="21" t="s">
        <v>22</v>
      </c>
      <c r="C591" s="22"/>
      <c r="D591" s="224">
        <f>+D592</f>
        <v>0</v>
      </c>
      <c r="E591" s="224">
        <f t="shared" ref="E591:L592" si="324">+E592</f>
        <v>0</v>
      </c>
      <c r="F591" s="1261">
        <f t="shared" si="324"/>
        <v>0</v>
      </c>
      <c r="G591" s="1261">
        <f t="shared" si="324"/>
        <v>0</v>
      </c>
      <c r="H591" s="1261">
        <f t="shared" si="324"/>
        <v>0</v>
      </c>
      <c r="I591" s="1261">
        <f t="shared" si="324"/>
        <v>0</v>
      </c>
      <c r="J591" s="1261">
        <f t="shared" si="324"/>
        <v>0</v>
      </c>
      <c r="K591" s="1261">
        <f t="shared" si="324"/>
        <v>0</v>
      </c>
      <c r="L591" s="1261">
        <f t="shared" si="324"/>
        <v>0</v>
      </c>
      <c r="M591" s="3121" t="s">
        <v>23</v>
      </c>
      <c r="N591" s="3211"/>
    </row>
    <row r="592" spans="1:18" s="298" customFormat="1" ht="14.25" hidden="1" customHeight="1">
      <c r="A592" s="3135"/>
      <c r="B592" s="577" t="s">
        <v>18</v>
      </c>
      <c r="C592" s="3091" t="s">
        <v>114</v>
      </c>
      <c r="D592" s="1123">
        <f>+D593</f>
        <v>0</v>
      </c>
      <c r="E592" s="1240">
        <f t="shared" si="324"/>
        <v>0</v>
      </c>
      <c r="F592" s="1262">
        <f t="shared" si="324"/>
        <v>0</v>
      </c>
      <c r="G592" s="1262">
        <f t="shared" si="324"/>
        <v>0</v>
      </c>
      <c r="H592" s="1262">
        <f t="shared" si="324"/>
        <v>0</v>
      </c>
      <c r="I592" s="1262">
        <f t="shared" si="324"/>
        <v>0</v>
      </c>
      <c r="J592" s="1262">
        <f t="shared" si="324"/>
        <v>0</v>
      </c>
      <c r="K592" s="1262">
        <f t="shared" si="324"/>
        <v>0</v>
      </c>
      <c r="L592" s="1262">
        <f t="shared" si="324"/>
        <v>0</v>
      </c>
      <c r="M592" s="3122"/>
      <c r="N592" s="3211"/>
    </row>
    <row r="593" spans="1:16" s="298" customFormat="1" ht="14.25" hidden="1" customHeight="1" thickBot="1">
      <c r="A593" s="3136"/>
      <c r="B593" s="60" t="s">
        <v>20</v>
      </c>
      <c r="C593" s="3120"/>
      <c r="D593" s="280">
        <f t="shared" ref="D593" si="325">E593+F593+G593+H593+I593+J593+K593+L593</f>
        <v>0</v>
      </c>
      <c r="E593" s="1253">
        <v>0</v>
      </c>
      <c r="F593" s="1311">
        <v>0</v>
      </c>
      <c r="G593" s="1311">
        <v>0</v>
      </c>
      <c r="H593" s="1311">
        <v>0</v>
      </c>
      <c r="I593" s="1311">
        <v>0</v>
      </c>
      <c r="J593" s="1311">
        <v>0</v>
      </c>
      <c r="K593" s="1311">
        <v>0</v>
      </c>
      <c r="L593" s="1311">
        <v>0</v>
      </c>
      <c r="M593" s="3123"/>
      <c r="N593" s="3212"/>
      <c r="O593" s="1266">
        <f>D593-D590</f>
        <v>0</v>
      </c>
    </row>
    <row r="594" spans="1:16" ht="27" customHeight="1" thickBot="1">
      <c r="A594" s="158" t="s">
        <v>115</v>
      </c>
      <c r="B594" s="159"/>
      <c r="C594" s="160"/>
      <c r="D594" s="161"/>
      <c r="E594" s="161"/>
      <c r="F594" s="160"/>
      <c r="G594" s="160"/>
      <c r="H594" s="160"/>
      <c r="I594" s="160"/>
      <c r="J594" s="160"/>
      <c r="K594" s="160"/>
      <c r="L594" s="160"/>
      <c r="M594" s="160"/>
      <c r="N594" s="162"/>
    </row>
    <row r="595" spans="1:16" s="1314" customFormat="1" ht="15.75" customHeight="1">
      <c r="A595" s="3128"/>
      <c r="B595" s="247" t="s">
        <v>76</v>
      </c>
      <c r="C595" s="239"/>
      <c r="D595" s="248">
        <f>+D596+D597</f>
        <v>1104167913</v>
      </c>
      <c r="E595" s="248">
        <f t="shared" ref="E595" si="326">+E596+E597</f>
        <v>371806468</v>
      </c>
      <c r="F595" s="248">
        <f t="shared" ref="F595" si="327">+F596+F597</f>
        <v>169912866</v>
      </c>
      <c r="G595" s="248">
        <f t="shared" ref="G595:L595" si="328">+G596+G597</f>
        <v>196698981</v>
      </c>
      <c r="H595" s="248">
        <f t="shared" si="328"/>
        <v>184348100</v>
      </c>
      <c r="I595" s="248">
        <f t="shared" si="328"/>
        <v>177456498</v>
      </c>
      <c r="J595" s="248">
        <f t="shared" si="328"/>
        <v>3945000</v>
      </c>
      <c r="K595" s="248">
        <f t="shared" si="328"/>
        <v>0</v>
      </c>
      <c r="L595" s="248">
        <f t="shared" si="328"/>
        <v>0</v>
      </c>
      <c r="M595" s="16">
        <f>+M596+M597</f>
        <v>732361445</v>
      </c>
      <c r="N595" s="1312"/>
      <c r="O595" s="1313"/>
    </row>
    <row r="596" spans="1:16" s="1314" customFormat="1" ht="11.25" customHeight="1">
      <c r="A596" s="3129"/>
      <c r="B596" s="241" t="s">
        <v>77</v>
      </c>
      <c r="C596" s="538"/>
      <c r="D596" s="243">
        <f t="shared" ref="D596:M596" si="329">D611+D669+D673+D686+D694+D706+D710+D718</f>
        <v>888426292</v>
      </c>
      <c r="E596" s="243">
        <f t="shared" ref="E596" si="330">E611+E669+E673+E686+E694+E706+E710+E718</f>
        <v>328478944</v>
      </c>
      <c r="F596" s="243">
        <f t="shared" si="329"/>
        <v>126031050</v>
      </c>
      <c r="G596" s="243">
        <f t="shared" si="329"/>
        <v>148287200</v>
      </c>
      <c r="H596" s="243">
        <f t="shared" si="329"/>
        <v>139077600</v>
      </c>
      <c r="I596" s="243">
        <f t="shared" si="329"/>
        <v>142606498</v>
      </c>
      <c r="J596" s="243">
        <f t="shared" si="329"/>
        <v>3945000</v>
      </c>
      <c r="K596" s="243">
        <f t="shared" si="329"/>
        <v>0</v>
      </c>
      <c r="L596" s="243">
        <f t="shared" si="329"/>
        <v>0</v>
      </c>
      <c r="M596" s="18">
        <f t="shared" si="329"/>
        <v>559947348</v>
      </c>
      <c r="N596" s="1312"/>
    </row>
    <row r="597" spans="1:16" s="1314" customFormat="1" ht="13.5" customHeight="1">
      <c r="A597" s="3129"/>
      <c r="B597" s="1192" t="s">
        <v>9</v>
      </c>
      <c r="C597" s="1315"/>
      <c r="D597" s="1316">
        <f t="shared" ref="D597:M597" si="331">D623+D631+D635+D647+D662+D702+D714+D726+D734+D738</f>
        <v>215741621</v>
      </c>
      <c r="E597" s="1316">
        <f t="shared" ref="E597" si="332">E623+E631+E635+E647+E662+E702+E714+E726+E734+E738</f>
        <v>43327524</v>
      </c>
      <c r="F597" s="1316">
        <f t="shared" si="331"/>
        <v>43881816</v>
      </c>
      <c r="G597" s="1316">
        <f t="shared" si="331"/>
        <v>48411781</v>
      </c>
      <c r="H597" s="1316">
        <f t="shared" si="331"/>
        <v>45270500</v>
      </c>
      <c r="I597" s="1316">
        <f t="shared" si="331"/>
        <v>34850000</v>
      </c>
      <c r="J597" s="1316">
        <f t="shared" si="331"/>
        <v>0</v>
      </c>
      <c r="K597" s="1316">
        <f t="shared" si="331"/>
        <v>0</v>
      </c>
      <c r="L597" s="1316">
        <f t="shared" si="331"/>
        <v>0</v>
      </c>
      <c r="M597" s="18">
        <f t="shared" si="331"/>
        <v>172414097</v>
      </c>
      <c r="N597" s="1312"/>
      <c r="O597" s="1313"/>
    </row>
    <row r="598" spans="1:16" s="1314" customFormat="1" ht="14.25" customHeight="1">
      <c r="A598" s="3129"/>
      <c r="B598" s="31" t="s">
        <v>10</v>
      </c>
      <c r="C598" s="22"/>
      <c r="D598" s="32">
        <f>+D599</f>
        <v>1104167913</v>
      </c>
      <c r="E598" s="32">
        <f t="shared" ref="E598:L599" si="333">+E599</f>
        <v>371806468</v>
      </c>
      <c r="F598" s="32">
        <f t="shared" si="333"/>
        <v>169912866</v>
      </c>
      <c r="G598" s="32">
        <f t="shared" si="333"/>
        <v>196698981</v>
      </c>
      <c r="H598" s="32">
        <f t="shared" si="333"/>
        <v>184348100</v>
      </c>
      <c r="I598" s="32">
        <f t="shared" si="333"/>
        <v>177456498</v>
      </c>
      <c r="J598" s="32">
        <f t="shared" si="333"/>
        <v>3945000</v>
      </c>
      <c r="K598" s="32">
        <f t="shared" si="333"/>
        <v>0</v>
      </c>
      <c r="L598" s="32">
        <f t="shared" si="333"/>
        <v>0</v>
      </c>
      <c r="M598" s="33">
        <f>+M599</f>
        <v>755787436</v>
      </c>
      <c r="N598" s="1317"/>
      <c r="O598" s="1313">
        <f>M598-M595</f>
        <v>23425991</v>
      </c>
    </row>
    <row r="599" spans="1:16" s="1321" customFormat="1" ht="12">
      <c r="A599" s="3129"/>
      <c r="B599" s="1318" t="s">
        <v>24</v>
      </c>
      <c r="C599" s="1319"/>
      <c r="D599" s="539">
        <f>SUM(D600:D603)</f>
        <v>1104167913</v>
      </c>
      <c r="E599" s="539">
        <f t="shared" ref="E599" si="334">SUM(E600:E603)</f>
        <v>371806468</v>
      </c>
      <c r="F599" s="539">
        <f t="shared" ref="F599:I599" si="335">SUM(F600:F603)</f>
        <v>169912866</v>
      </c>
      <c r="G599" s="539">
        <f t="shared" si="335"/>
        <v>196698981</v>
      </c>
      <c r="H599" s="539">
        <f t="shared" si="335"/>
        <v>184348100</v>
      </c>
      <c r="I599" s="539">
        <f t="shared" si="335"/>
        <v>177456498</v>
      </c>
      <c r="J599" s="539">
        <f t="shared" si="333"/>
        <v>3945000</v>
      </c>
      <c r="K599" s="539">
        <f t="shared" si="333"/>
        <v>0</v>
      </c>
      <c r="L599" s="539">
        <f t="shared" si="333"/>
        <v>0</v>
      </c>
      <c r="M599" s="88">
        <f>SUM(M600:M603)</f>
        <v>755787436</v>
      </c>
      <c r="N599" s="2998"/>
      <c r="O599" s="1320"/>
    </row>
    <row r="600" spans="1:16" s="1314" customFormat="1" ht="12">
      <c r="A600" s="3129"/>
      <c r="B600" s="1211" t="s">
        <v>12</v>
      </c>
      <c r="C600" s="1212"/>
      <c r="D600" s="540">
        <f>+D613+D621+D625+D633+D637+D740+D641+D649+D656+D671+D675+D684+D688+D696+D704+D712+D664+D708+D716+D720+D728+D736</f>
        <v>1006511722</v>
      </c>
      <c r="E600" s="540">
        <f t="shared" ref="E600" si="336">+E613+E621+E625+E633+E637+E740+E641+E649+E656+E671+E675+E684+E688+E696+E704+E712+E664+E708+E716+E720+E728+E736</f>
        <v>364268477</v>
      </c>
      <c r="F600" s="540">
        <f t="shared" ref="F600:L600" si="337">+F613+F621+F625+F633+F637+F740+F641+F649+F656+F671+F675+F684+F688+F696+F704+F712+F664+F708+F716+F720+F728+F736</f>
        <v>132240289</v>
      </c>
      <c r="G600" s="540">
        <f t="shared" si="337"/>
        <v>172556218</v>
      </c>
      <c r="H600" s="540">
        <f t="shared" si="337"/>
        <v>170228100</v>
      </c>
      <c r="I600" s="540">
        <f t="shared" si="337"/>
        <v>163273638</v>
      </c>
      <c r="J600" s="540">
        <f t="shared" si="337"/>
        <v>3945000</v>
      </c>
      <c r="K600" s="540">
        <f t="shared" si="337"/>
        <v>0</v>
      </c>
      <c r="L600" s="540">
        <f t="shared" si="337"/>
        <v>0</v>
      </c>
      <c r="M600" s="37">
        <f>SUM(F600:L601)</f>
        <v>665669236</v>
      </c>
      <c r="N600" s="3249"/>
      <c r="O600" s="1313"/>
    </row>
    <row r="601" spans="1:16" s="1314" customFormat="1" ht="12">
      <c r="A601" s="3129"/>
      <c r="B601" s="1211" t="s">
        <v>78</v>
      </c>
      <c r="C601" s="1212"/>
      <c r="D601" s="540">
        <f>D689+D697+D721</f>
        <v>23425991</v>
      </c>
      <c r="E601" s="540">
        <f t="shared" ref="E601" si="338">E689+E697+E721</f>
        <v>0</v>
      </c>
      <c r="F601" s="540">
        <f t="shared" ref="F601:L601" si="339">F689+F697+F721</f>
        <v>23425991</v>
      </c>
      <c r="G601" s="540">
        <f t="shared" si="339"/>
        <v>0</v>
      </c>
      <c r="H601" s="540">
        <f t="shared" si="339"/>
        <v>0</v>
      </c>
      <c r="I601" s="540">
        <f t="shared" si="339"/>
        <v>0</v>
      </c>
      <c r="J601" s="540">
        <f t="shared" si="339"/>
        <v>0</v>
      </c>
      <c r="K601" s="540">
        <f t="shared" si="339"/>
        <v>0</v>
      </c>
      <c r="L601" s="540">
        <f t="shared" si="339"/>
        <v>0</v>
      </c>
      <c r="M601" s="37">
        <f>SUM(F601:I601)</f>
        <v>23425991</v>
      </c>
      <c r="N601" s="3249"/>
      <c r="O601" s="1313"/>
    </row>
    <row r="602" spans="1:16" s="1314" customFormat="1" ht="12">
      <c r="A602" s="3129"/>
      <c r="B602" s="1211" t="s">
        <v>15</v>
      </c>
      <c r="C602" s="1212"/>
      <c r="D602" s="540">
        <f t="shared" ref="D602:L602" si="340">+D626+D642+D657+D676+D729</f>
        <v>11780999</v>
      </c>
      <c r="E602" s="540">
        <f t="shared" ref="E602" si="341">+E626+E642+E657+E676+E729</f>
        <v>7537991</v>
      </c>
      <c r="F602" s="540">
        <f t="shared" si="340"/>
        <v>4243008</v>
      </c>
      <c r="G602" s="540">
        <f t="shared" si="340"/>
        <v>0</v>
      </c>
      <c r="H602" s="540">
        <f t="shared" si="340"/>
        <v>0</v>
      </c>
      <c r="I602" s="540">
        <f t="shared" si="340"/>
        <v>0</v>
      </c>
      <c r="J602" s="540">
        <f t="shared" si="340"/>
        <v>0</v>
      </c>
      <c r="K602" s="540">
        <f t="shared" si="340"/>
        <v>0</v>
      </c>
      <c r="L602" s="540">
        <f t="shared" si="340"/>
        <v>0</v>
      </c>
      <c r="M602" s="37">
        <f>SUM(F602:J602)</f>
        <v>4243008</v>
      </c>
      <c r="N602" s="3249"/>
      <c r="O602" s="1313"/>
    </row>
    <row r="603" spans="1:16" s="1314" customFormat="1" ht="13.5" customHeight="1">
      <c r="A603" s="3129"/>
      <c r="B603" s="1211" t="s">
        <v>108</v>
      </c>
      <c r="C603" s="1212"/>
      <c r="D603" s="540">
        <f>D614</f>
        <v>62449201</v>
      </c>
      <c r="E603" s="540">
        <f t="shared" ref="E603" si="342">E614</f>
        <v>0</v>
      </c>
      <c r="F603" s="540">
        <f t="shared" ref="F603:L603" si="343">F614</f>
        <v>10003578</v>
      </c>
      <c r="G603" s="540">
        <f t="shared" si="343"/>
        <v>24142763</v>
      </c>
      <c r="H603" s="540">
        <f t="shared" si="343"/>
        <v>14120000</v>
      </c>
      <c r="I603" s="540">
        <f t="shared" si="343"/>
        <v>14182860</v>
      </c>
      <c r="J603" s="540">
        <f t="shared" si="343"/>
        <v>0</v>
      </c>
      <c r="K603" s="540">
        <f t="shared" si="343"/>
        <v>0</v>
      </c>
      <c r="L603" s="540">
        <f t="shared" si="343"/>
        <v>0</v>
      </c>
      <c r="M603" s="37">
        <f>SUM(F603:J603)</f>
        <v>62449201</v>
      </c>
      <c r="N603" s="3249"/>
      <c r="O603" s="1313"/>
    </row>
    <row r="604" spans="1:16" s="1314" customFormat="1" ht="13.5" customHeight="1">
      <c r="A604" s="3129"/>
      <c r="B604" s="91" t="s">
        <v>22</v>
      </c>
      <c r="C604" s="22"/>
      <c r="D604" s="32">
        <f>+D605</f>
        <v>197175842</v>
      </c>
      <c r="E604" s="32">
        <f t="shared" ref="E604:L604" si="344">+E605</f>
        <v>59489003</v>
      </c>
      <c r="F604" s="32">
        <f t="shared" si="344"/>
        <v>49698084</v>
      </c>
      <c r="G604" s="32">
        <f t="shared" si="344"/>
        <v>27877585</v>
      </c>
      <c r="H604" s="32">
        <f t="shared" si="344"/>
        <v>30055585</v>
      </c>
      <c r="I604" s="32">
        <f t="shared" si="344"/>
        <v>30055585</v>
      </c>
      <c r="J604" s="32">
        <f t="shared" si="344"/>
        <v>0</v>
      </c>
      <c r="K604" s="32">
        <f t="shared" si="344"/>
        <v>0</v>
      </c>
      <c r="L604" s="32">
        <f t="shared" si="344"/>
        <v>0</v>
      </c>
      <c r="M604" s="3121" t="s">
        <v>23</v>
      </c>
      <c r="N604" s="3249"/>
    </row>
    <row r="605" spans="1:16" s="1314" customFormat="1" ht="12" customHeight="1">
      <c r="A605" s="3129"/>
      <c r="B605" s="1318" t="s">
        <v>24</v>
      </c>
      <c r="C605" s="1218"/>
      <c r="D605" s="261">
        <f>+D606+D608+D607+D609</f>
        <v>197175842</v>
      </c>
      <c r="E605" s="261">
        <f t="shared" ref="E605" si="345">+E606+E608+E607+E609</f>
        <v>59489003</v>
      </c>
      <c r="F605" s="261">
        <f t="shared" ref="F605:L605" si="346">+F606+F608+F607+F609</f>
        <v>49698084</v>
      </c>
      <c r="G605" s="261">
        <f t="shared" si="346"/>
        <v>27877585</v>
      </c>
      <c r="H605" s="261">
        <f t="shared" si="346"/>
        <v>30055585</v>
      </c>
      <c r="I605" s="261">
        <f t="shared" si="346"/>
        <v>30055585</v>
      </c>
      <c r="J605" s="261">
        <f t="shared" si="346"/>
        <v>0</v>
      </c>
      <c r="K605" s="261">
        <f t="shared" si="346"/>
        <v>0</v>
      </c>
      <c r="L605" s="261">
        <f t="shared" si="346"/>
        <v>0</v>
      </c>
      <c r="M605" s="3122"/>
      <c r="N605" s="3249"/>
    </row>
    <row r="606" spans="1:16" s="1314" customFormat="1" ht="12" customHeight="1">
      <c r="A606" s="3129"/>
      <c r="B606" s="1211" t="s">
        <v>236</v>
      </c>
      <c r="C606" s="541"/>
      <c r="D606" s="164">
        <f>+D679+D667+D652</f>
        <v>99519651</v>
      </c>
      <c r="E606" s="164">
        <f t="shared" ref="E606" si="347">+E679+E667+E652</f>
        <v>23178951</v>
      </c>
      <c r="F606" s="164">
        <f t="shared" ref="F606:I606" si="348">+F679+F667+F652</f>
        <v>13609800</v>
      </c>
      <c r="G606" s="164">
        <f t="shared" si="348"/>
        <v>19458300</v>
      </c>
      <c r="H606" s="164">
        <f t="shared" si="348"/>
        <v>21636300</v>
      </c>
      <c r="I606" s="164">
        <f t="shared" si="348"/>
        <v>21636300</v>
      </c>
      <c r="J606" s="164">
        <f t="shared" ref="J606:L606" si="349">+J679+J667</f>
        <v>0</v>
      </c>
      <c r="K606" s="164">
        <f t="shared" si="349"/>
        <v>0</v>
      </c>
      <c r="L606" s="164">
        <f t="shared" si="349"/>
        <v>0</v>
      </c>
      <c r="M606" s="3122"/>
      <c r="N606" s="3249"/>
      <c r="P606" s="1313">
        <v>28500000</v>
      </c>
    </row>
    <row r="607" spans="1:16" s="1314" customFormat="1" ht="12" customHeight="1">
      <c r="A607" s="2997"/>
      <c r="B607" s="1211" t="s">
        <v>78</v>
      </c>
      <c r="C607" s="541"/>
      <c r="D607" s="540">
        <f>D692+D700+D724</f>
        <v>23425991</v>
      </c>
      <c r="E607" s="540">
        <f t="shared" ref="E607" si="350">E692+E700+E724</f>
        <v>0</v>
      </c>
      <c r="F607" s="540">
        <f t="shared" ref="F607:L607" si="351">F692+F700+F724</f>
        <v>23425991</v>
      </c>
      <c r="G607" s="540">
        <f t="shared" si="351"/>
        <v>0</v>
      </c>
      <c r="H607" s="540">
        <f t="shared" si="351"/>
        <v>0</v>
      </c>
      <c r="I607" s="540">
        <f t="shared" si="351"/>
        <v>0</v>
      </c>
      <c r="J607" s="540">
        <f t="shared" si="351"/>
        <v>0</v>
      </c>
      <c r="K607" s="540">
        <f t="shared" si="351"/>
        <v>0</v>
      </c>
      <c r="L607" s="540">
        <f t="shared" si="351"/>
        <v>0</v>
      </c>
      <c r="M607" s="3122"/>
      <c r="N607" s="3249"/>
      <c r="O607" s="1313">
        <f>D607-D601</f>
        <v>0</v>
      </c>
      <c r="P607" s="1313">
        <v>4072498</v>
      </c>
    </row>
    <row r="608" spans="1:16" s="1314" customFormat="1" ht="12" customHeight="1">
      <c r="A608" s="2997"/>
      <c r="B608" s="1211" t="s">
        <v>15</v>
      </c>
      <c r="C608" s="541"/>
      <c r="D608" s="164">
        <f t="shared" ref="D608:L608" si="352">+D629+D645+D660+D680+D732</f>
        <v>11780999</v>
      </c>
      <c r="E608" s="164">
        <f t="shared" ref="E608" si="353">+E629+E645+E660+E680+E732</f>
        <v>7537991</v>
      </c>
      <c r="F608" s="164">
        <f t="shared" si="352"/>
        <v>4243008</v>
      </c>
      <c r="G608" s="164">
        <f t="shared" si="352"/>
        <v>0</v>
      </c>
      <c r="H608" s="164">
        <f t="shared" si="352"/>
        <v>0</v>
      </c>
      <c r="I608" s="164">
        <f t="shared" si="352"/>
        <v>0</v>
      </c>
      <c r="J608" s="164">
        <f t="shared" si="352"/>
        <v>0</v>
      </c>
      <c r="K608" s="164">
        <f t="shared" si="352"/>
        <v>0</v>
      </c>
      <c r="L608" s="164">
        <f t="shared" si="352"/>
        <v>0</v>
      </c>
      <c r="M608" s="3122"/>
      <c r="N608" s="3249"/>
      <c r="P608" s="1313">
        <v>1570791</v>
      </c>
    </row>
    <row r="609" spans="1:15" s="1314" customFormat="1" ht="12" customHeight="1" thickBot="1">
      <c r="A609" s="2997"/>
      <c r="B609" s="1211" t="s">
        <v>108</v>
      </c>
      <c r="C609" s="541"/>
      <c r="D609" s="164">
        <f>D617</f>
        <v>62449201</v>
      </c>
      <c r="E609" s="164">
        <f t="shared" ref="E609" si="354">E617</f>
        <v>28772061</v>
      </c>
      <c r="F609" s="164">
        <f t="shared" ref="F609:L609" si="355">F617</f>
        <v>8419285</v>
      </c>
      <c r="G609" s="164">
        <f t="shared" si="355"/>
        <v>8419285</v>
      </c>
      <c r="H609" s="164">
        <f t="shared" si="355"/>
        <v>8419285</v>
      </c>
      <c r="I609" s="164">
        <f t="shared" si="355"/>
        <v>8419285</v>
      </c>
      <c r="J609" s="164">
        <f t="shared" si="355"/>
        <v>0</v>
      </c>
      <c r="K609" s="164">
        <f t="shared" si="355"/>
        <v>0</v>
      </c>
      <c r="L609" s="164">
        <f t="shared" si="355"/>
        <v>0</v>
      </c>
      <c r="M609" s="3123"/>
      <c r="N609" s="3250"/>
    </row>
    <row r="610" spans="1:15" s="1314" customFormat="1" ht="18" customHeight="1">
      <c r="A610" s="3128" t="s">
        <v>63</v>
      </c>
      <c r="B610" s="82" t="s">
        <v>468</v>
      </c>
      <c r="C610" s="64" t="s">
        <v>111</v>
      </c>
      <c r="D610" s="117"/>
      <c r="E610" s="119"/>
      <c r="F610" s="118"/>
      <c r="G610" s="118"/>
      <c r="H610" s="271"/>
      <c r="I610" s="271"/>
      <c r="J610" s="271"/>
      <c r="K610" s="271"/>
      <c r="L610" s="271"/>
      <c r="M610" s="2061"/>
      <c r="N610" s="3277" t="s">
        <v>104</v>
      </c>
    </row>
    <row r="611" spans="1:15" s="1314" customFormat="1" ht="14.25" customHeight="1">
      <c r="A611" s="3129"/>
      <c r="B611" s="626" t="s">
        <v>10</v>
      </c>
      <c r="C611" s="1105"/>
      <c r="D611" s="2192">
        <f>+D612</f>
        <v>83298218</v>
      </c>
      <c r="E611" s="2192">
        <f t="shared" ref="E611:I611" si="356">+E612</f>
        <v>2184218</v>
      </c>
      <c r="F611" s="2192">
        <f t="shared" si="356"/>
        <v>12304401</v>
      </c>
      <c r="G611" s="2192">
        <f t="shared" si="356"/>
        <v>29695599</v>
      </c>
      <c r="H611" s="2192">
        <f t="shared" si="356"/>
        <v>17367600</v>
      </c>
      <c r="I611" s="2192">
        <f t="shared" si="356"/>
        <v>21746400</v>
      </c>
      <c r="J611" s="1396">
        <v>0</v>
      </c>
      <c r="K611" s="1396">
        <v>0</v>
      </c>
      <c r="L611" s="1396">
        <v>0</v>
      </c>
      <c r="M611" s="2193">
        <f>+M612</f>
        <v>81114000</v>
      </c>
      <c r="N611" s="3278"/>
      <c r="O611" s="1313"/>
    </row>
    <row r="612" spans="1:15" s="1314" customFormat="1" ht="14.25" customHeight="1">
      <c r="A612" s="3129"/>
      <c r="B612" s="832" t="s">
        <v>24</v>
      </c>
      <c r="C612" s="3106" t="s">
        <v>100</v>
      </c>
      <c r="D612" s="2194">
        <f>D613+D614</f>
        <v>83298218</v>
      </c>
      <c r="E612" s="2194">
        <f t="shared" ref="E612:G612" si="357">E613+E614</f>
        <v>2184218</v>
      </c>
      <c r="F612" s="2194">
        <f>F613+F614</f>
        <v>12304401</v>
      </c>
      <c r="G612" s="2194">
        <f t="shared" si="357"/>
        <v>29695599</v>
      </c>
      <c r="H612" s="2194">
        <f t="shared" ref="H612" si="358">H613+H614</f>
        <v>17367600</v>
      </c>
      <c r="I612" s="2194">
        <f t="shared" ref="I612" si="359">I613+I614</f>
        <v>21746400</v>
      </c>
      <c r="J612" s="1394">
        <v>0</v>
      </c>
      <c r="K612" s="1394">
        <v>0</v>
      </c>
      <c r="L612" s="1394">
        <v>0</v>
      </c>
      <c r="M612" s="1058">
        <f>+M613+M614</f>
        <v>81114000</v>
      </c>
      <c r="N612" s="3278"/>
    </row>
    <row r="613" spans="1:15" s="1314" customFormat="1" ht="14.25" customHeight="1">
      <c r="A613" s="3129"/>
      <c r="B613" s="1032" t="s">
        <v>12</v>
      </c>
      <c r="C613" s="3124"/>
      <c r="D613" s="280">
        <f>E613+F613+G613+H613+I613+J613+K613+L613</f>
        <v>20849017</v>
      </c>
      <c r="E613" s="321">
        <v>2184218</v>
      </c>
      <c r="F613" s="2195">
        <f>23370000-5870000+3500000-18079000-620177</f>
        <v>2300823</v>
      </c>
      <c r="G613" s="2195">
        <f>29212500-15212500+7000000-16067341+620177</f>
        <v>5552836</v>
      </c>
      <c r="H613" s="2195">
        <f>3427000-179400</f>
        <v>3247600</v>
      </c>
      <c r="I613" s="2195">
        <f>7384140+179400</f>
        <v>7563540</v>
      </c>
      <c r="J613" s="1411">
        <v>0</v>
      </c>
      <c r="K613" s="1411">
        <v>0</v>
      </c>
      <c r="L613" s="1411">
        <v>0</v>
      </c>
      <c r="M613" s="1381">
        <f>SUM(F613:L613)</f>
        <v>18664799</v>
      </c>
      <c r="N613" s="3278"/>
      <c r="O613" s="1313"/>
    </row>
    <row r="614" spans="1:15" s="1314" customFormat="1" ht="14.25" customHeight="1">
      <c r="A614" s="3129"/>
      <c r="B614" s="2062" t="s">
        <v>108</v>
      </c>
      <c r="C614" s="2992"/>
      <c r="D614" s="2205">
        <f>E614+F614+G614+H614+I614+J614+K614+L614</f>
        <v>62449201</v>
      </c>
      <c r="E614" s="321">
        <v>0</v>
      </c>
      <c r="F614" s="126">
        <f>12700000-2696422</f>
        <v>10003578</v>
      </c>
      <c r="G614" s="126">
        <f>21446341+2696422</f>
        <v>24142763</v>
      </c>
      <c r="H614" s="126">
        <f>14900000-780000</f>
        <v>14120000</v>
      </c>
      <c r="I614" s="126">
        <f>13402860+780000</f>
        <v>14182860</v>
      </c>
      <c r="J614" s="1986">
        <v>0</v>
      </c>
      <c r="K614" s="1986">
        <v>0</v>
      </c>
      <c r="L614" s="1986">
        <v>0</v>
      </c>
      <c r="M614" s="1381">
        <f>SUM(F614:L614)</f>
        <v>62449201</v>
      </c>
      <c r="N614" s="3278"/>
      <c r="O614" s="1313"/>
    </row>
    <row r="615" spans="1:15" s="1314" customFormat="1" ht="14.25" customHeight="1">
      <c r="A615" s="3129"/>
      <c r="B615" s="208" t="s">
        <v>22</v>
      </c>
      <c r="C615" s="101"/>
      <c r="D615" s="2064">
        <f>D616</f>
        <v>62449201</v>
      </c>
      <c r="E615" s="2064">
        <f t="shared" ref="E615:L616" si="360">E616</f>
        <v>28772061</v>
      </c>
      <c r="F615" s="2064">
        <f t="shared" si="360"/>
        <v>8419285</v>
      </c>
      <c r="G615" s="2064">
        <f t="shared" si="360"/>
        <v>8419285</v>
      </c>
      <c r="H615" s="2064">
        <f t="shared" si="360"/>
        <v>8419285</v>
      </c>
      <c r="I615" s="2064">
        <f t="shared" si="360"/>
        <v>8419285</v>
      </c>
      <c r="J615" s="2065">
        <f t="shared" si="360"/>
        <v>0</v>
      </c>
      <c r="K615" s="2065">
        <f t="shared" si="360"/>
        <v>0</v>
      </c>
      <c r="L615" s="2065">
        <f t="shared" si="360"/>
        <v>0</v>
      </c>
      <c r="M615" s="3131" t="s">
        <v>23</v>
      </c>
      <c r="N615" s="3278"/>
      <c r="O615" s="1313"/>
    </row>
    <row r="616" spans="1:15" s="1314" customFormat="1" ht="14.25" customHeight="1">
      <c r="A616" s="3129"/>
      <c r="B616" s="888" t="s">
        <v>24</v>
      </c>
      <c r="C616" s="3106" t="s">
        <v>100</v>
      </c>
      <c r="D616" s="2028">
        <f>D617</f>
        <v>62449201</v>
      </c>
      <c r="E616" s="2028">
        <f t="shared" si="360"/>
        <v>28772061</v>
      </c>
      <c r="F616" s="2028">
        <f t="shared" si="360"/>
        <v>8419285</v>
      </c>
      <c r="G616" s="2028">
        <f t="shared" si="360"/>
        <v>8419285</v>
      </c>
      <c r="H616" s="2028">
        <f t="shared" si="360"/>
        <v>8419285</v>
      </c>
      <c r="I616" s="2028">
        <f t="shared" si="360"/>
        <v>8419285</v>
      </c>
      <c r="J616" s="2029">
        <f t="shared" si="360"/>
        <v>0</v>
      </c>
      <c r="K616" s="2029">
        <f t="shared" si="360"/>
        <v>0</v>
      </c>
      <c r="L616" s="2029">
        <f t="shared" si="360"/>
        <v>0</v>
      </c>
      <c r="M616" s="3131"/>
      <c r="N616" s="3278"/>
      <c r="O616" s="1313"/>
    </row>
    <row r="617" spans="1:15" s="1314" customFormat="1" ht="14.25" customHeight="1" thickBot="1">
      <c r="A617" s="3130"/>
      <c r="B617" s="2196" t="s">
        <v>108</v>
      </c>
      <c r="C617" s="3137"/>
      <c r="D617" s="1336">
        <f>E617+F617+G617+H617+I617+J617+K617+L617</f>
        <v>62449201</v>
      </c>
      <c r="E617" s="1336">
        <v>28772061</v>
      </c>
      <c r="F617" s="1336">
        <v>8419285</v>
      </c>
      <c r="G617" s="1336">
        <v>8419285</v>
      </c>
      <c r="H617" s="1336">
        <v>8419285</v>
      </c>
      <c r="I617" s="1336">
        <v>8419285</v>
      </c>
      <c r="J617" s="789">
        <v>0</v>
      </c>
      <c r="K617" s="789">
        <v>0</v>
      </c>
      <c r="L617" s="789">
        <v>0</v>
      </c>
      <c r="M617" s="3132"/>
      <c r="N617" s="3279"/>
      <c r="O617" s="1313"/>
    </row>
    <row r="618" spans="1:15" s="1314" customFormat="1" ht="14.25" hidden="1" customHeight="1">
      <c r="A618" s="3129"/>
      <c r="B618" s="542"/>
      <c r="C618" s="1322"/>
      <c r="D618" s="93"/>
      <c r="E618" s="288"/>
      <c r="F618" s="288"/>
      <c r="G618" s="288"/>
      <c r="H618" s="288"/>
      <c r="I618" s="288"/>
      <c r="J618" s="288"/>
      <c r="K618" s="288"/>
      <c r="L618" s="288"/>
      <c r="M618" s="289"/>
      <c r="N618" s="3154"/>
    </row>
    <row r="619" spans="1:15" s="1314" customFormat="1" ht="13.5" hidden="1" customHeight="1">
      <c r="A619" s="3129"/>
      <c r="B619" s="31"/>
      <c r="C619" s="101"/>
      <c r="D619" s="236"/>
      <c r="E619" s="236"/>
      <c r="F619" s="236"/>
      <c r="G619" s="236"/>
      <c r="H619" s="277"/>
      <c r="I619" s="277"/>
      <c r="J619" s="277"/>
      <c r="K619" s="277"/>
      <c r="L619" s="277"/>
      <c r="M619" s="268"/>
      <c r="N619" s="3267"/>
    </row>
    <row r="620" spans="1:15" s="1314" customFormat="1" ht="13.5" hidden="1" customHeight="1">
      <c r="A620" s="3129"/>
      <c r="B620" s="797"/>
      <c r="C620" s="3091"/>
      <c r="D620" s="87"/>
      <c r="E620" s="87"/>
      <c r="F620" s="87"/>
      <c r="G620" s="87"/>
      <c r="H620" s="273"/>
      <c r="I620" s="273"/>
      <c r="J620" s="273"/>
      <c r="K620" s="273"/>
      <c r="L620" s="273"/>
      <c r="M620" s="269"/>
      <c r="N620" s="3267"/>
    </row>
    <row r="621" spans="1:15" s="1314" customFormat="1" ht="13.5" hidden="1" customHeight="1" thickBot="1">
      <c r="A621" s="3130"/>
      <c r="B621" s="79"/>
      <c r="C621" s="3120"/>
      <c r="D621" s="98"/>
      <c r="E621" s="81"/>
      <c r="F621" s="56"/>
      <c r="G621" s="56"/>
      <c r="H621" s="278"/>
      <c r="I621" s="278"/>
      <c r="J621" s="278"/>
      <c r="K621" s="278"/>
      <c r="L621" s="278"/>
      <c r="M621" s="270"/>
      <c r="N621" s="3268"/>
      <c r="O621" s="1313"/>
    </row>
    <row r="622" spans="1:15" s="1314" customFormat="1" ht="29.25" customHeight="1">
      <c r="A622" s="3139" t="s">
        <v>64</v>
      </c>
      <c r="B622" s="82" t="s">
        <v>380</v>
      </c>
      <c r="C622" s="64" t="s">
        <v>81</v>
      </c>
      <c r="D622" s="1252"/>
      <c r="E622" s="107"/>
      <c r="F622" s="107"/>
      <c r="G622" s="107"/>
      <c r="H622" s="107"/>
      <c r="I622" s="107"/>
      <c r="J622" s="107"/>
      <c r="K622" s="107"/>
      <c r="L622" s="107"/>
      <c r="M622" s="46"/>
      <c r="N622" s="3143" t="s">
        <v>104</v>
      </c>
    </row>
    <row r="623" spans="1:15" s="1314" customFormat="1" ht="15" customHeight="1">
      <c r="A623" s="3140"/>
      <c r="B623" s="626" t="s">
        <v>10</v>
      </c>
      <c r="C623" s="2974"/>
      <c r="D623" s="2848">
        <f>+D624</f>
        <v>4615466</v>
      </c>
      <c r="E623" s="2964">
        <f t="shared" ref="E623:M623" si="361">+E624</f>
        <v>4482254</v>
      </c>
      <c r="F623" s="2964">
        <f t="shared" si="361"/>
        <v>133212</v>
      </c>
      <c r="G623" s="2981">
        <v>0</v>
      </c>
      <c r="H623" s="2981">
        <v>0</v>
      </c>
      <c r="I623" s="2981">
        <v>0</v>
      </c>
      <c r="J623" s="2981">
        <v>0</v>
      </c>
      <c r="K623" s="2981">
        <v>0</v>
      </c>
      <c r="L623" s="2981">
        <v>0</v>
      </c>
      <c r="M623" s="2849">
        <f t="shared" si="361"/>
        <v>133212</v>
      </c>
      <c r="N623" s="3144"/>
      <c r="O623" s="1313"/>
    </row>
    <row r="624" spans="1:15" s="1314" customFormat="1" ht="13.5" customHeight="1">
      <c r="A624" s="3140"/>
      <c r="B624" s="832" t="s">
        <v>24</v>
      </c>
      <c r="C624" s="3146" t="s">
        <v>113</v>
      </c>
      <c r="D624" s="2851">
        <f>+D625+D626</f>
        <v>4615466</v>
      </c>
      <c r="E624" s="2965">
        <f t="shared" ref="E624" si="362">+E625+E626</f>
        <v>4482254</v>
      </c>
      <c r="F624" s="2965">
        <f>+F625+F626</f>
        <v>133212</v>
      </c>
      <c r="G624" s="2979">
        <v>0</v>
      </c>
      <c r="H624" s="2979">
        <v>0</v>
      </c>
      <c r="I624" s="2979">
        <v>0</v>
      </c>
      <c r="J624" s="2979">
        <v>0</v>
      </c>
      <c r="K624" s="2979">
        <v>0</v>
      </c>
      <c r="L624" s="2979">
        <v>0</v>
      </c>
      <c r="M624" s="2938">
        <f>+M625+M626</f>
        <v>133212</v>
      </c>
      <c r="N624" s="3144"/>
    </row>
    <row r="625" spans="1:130" s="1314" customFormat="1" ht="13.5" customHeight="1">
      <c r="A625" s="3140"/>
      <c r="B625" s="2982" t="s">
        <v>12</v>
      </c>
      <c r="C625" s="3147"/>
      <c r="D625" s="2819">
        <f>E625+F625+G625+H625+I625+J625+K625+L625</f>
        <v>1771239</v>
      </c>
      <c r="E625" s="2903">
        <v>1638027</v>
      </c>
      <c r="F625" s="2855">
        <v>133212</v>
      </c>
      <c r="G625" s="2977">
        <v>0</v>
      </c>
      <c r="H625" s="2977">
        <v>0</v>
      </c>
      <c r="I625" s="2977">
        <v>0</v>
      </c>
      <c r="J625" s="2977">
        <v>0</v>
      </c>
      <c r="K625" s="2977">
        <v>0</v>
      </c>
      <c r="L625" s="2977">
        <v>0</v>
      </c>
      <c r="M625" s="2968">
        <f>SUM(F625:L625)</f>
        <v>133212</v>
      </c>
      <c r="N625" s="3144"/>
    </row>
    <row r="626" spans="1:130" s="1314" customFormat="1" ht="13.5" customHeight="1">
      <c r="A626" s="3140"/>
      <c r="B626" s="1032" t="s">
        <v>116</v>
      </c>
      <c r="C626" s="3148"/>
      <c r="D626" s="2819">
        <f>E626+F626+G626+H626+I626+J626+K626+L626</f>
        <v>2844227</v>
      </c>
      <c r="E626" s="2903">
        <v>2844227</v>
      </c>
      <c r="F626" s="2977">
        <v>0</v>
      </c>
      <c r="G626" s="2977">
        <v>0</v>
      </c>
      <c r="H626" s="2977">
        <v>0</v>
      </c>
      <c r="I626" s="2977">
        <v>0</v>
      </c>
      <c r="J626" s="2977">
        <v>0</v>
      </c>
      <c r="K626" s="2977">
        <v>0</v>
      </c>
      <c r="L626" s="2977">
        <v>0</v>
      </c>
      <c r="M626" s="2968">
        <f>SUM(F626:L626)</f>
        <v>0</v>
      </c>
      <c r="N626" s="3144"/>
    </row>
    <row r="627" spans="1:130" s="1314" customFormat="1" ht="12.75" customHeight="1">
      <c r="A627" s="3141"/>
      <c r="B627" s="826" t="s">
        <v>22</v>
      </c>
      <c r="C627" s="2974"/>
      <c r="D627" s="2848">
        <f>+D628</f>
        <v>2844227</v>
      </c>
      <c r="E627" s="2848">
        <f t="shared" ref="E627:E628" si="363">+E628</f>
        <v>2844227</v>
      </c>
      <c r="F627" s="2981">
        <v>0</v>
      </c>
      <c r="G627" s="2981">
        <v>0</v>
      </c>
      <c r="H627" s="2981">
        <v>0</v>
      </c>
      <c r="I627" s="2981">
        <v>0</v>
      </c>
      <c r="J627" s="2981">
        <v>0</v>
      </c>
      <c r="K627" s="2981">
        <v>0</v>
      </c>
      <c r="L627" s="2981">
        <v>0</v>
      </c>
      <c r="M627" s="3088" t="s">
        <v>23</v>
      </c>
      <c r="N627" s="3144"/>
    </row>
    <row r="628" spans="1:130" s="1314" customFormat="1" ht="13.5" customHeight="1">
      <c r="A628" s="3141"/>
      <c r="B628" s="783" t="s">
        <v>24</v>
      </c>
      <c r="C628" s="3146" t="s">
        <v>113</v>
      </c>
      <c r="D628" s="2965">
        <f>+D629</f>
        <v>2844227</v>
      </c>
      <c r="E628" s="2965">
        <f t="shared" si="363"/>
        <v>2844227</v>
      </c>
      <c r="F628" s="2979">
        <v>0</v>
      </c>
      <c r="G628" s="2979">
        <v>0</v>
      </c>
      <c r="H628" s="2979">
        <v>0</v>
      </c>
      <c r="I628" s="2979">
        <v>0</v>
      </c>
      <c r="J628" s="2979">
        <v>0</v>
      </c>
      <c r="K628" s="2979">
        <v>0</v>
      </c>
      <c r="L628" s="2979">
        <v>0</v>
      </c>
      <c r="M628" s="3089"/>
      <c r="N628" s="3144"/>
    </row>
    <row r="629" spans="1:130" s="1314" customFormat="1" ht="13.5" customHeight="1" thickBot="1">
      <c r="A629" s="3142"/>
      <c r="B629" s="411" t="s">
        <v>116</v>
      </c>
      <c r="C629" s="3120"/>
      <c r="D629" s="2819">
        <f>E629+F629+G629+H629+I629+J629+K629+L629</f>
        <v>2844227</v>
      </c>
      <c r="E629" s="2903">
        <v>2844227</v>
      </c>
      <c r="F629" s="1398">
        <v>0</v>
      </c>
      <c r="G629" s="1398">
        <v>0</v>
      </c>
      <c r="H629" s="1398">
        <v>0</v>
      </c>
      <c r="I629" s="1398">
        <v>0</v>
      </c>
      <c r="J629" s="1398">
        <v>0</v>
      </c>
      <c r="K629" s="1398">
        <v>0</v>
      </c>
      <c r="L629" s="1398">
        <v>0</v>
      </c>
      <c r="M629" s="3090"/>
      <c r="N629" s="3145"/>
    </row>
    <row r="630" spans="1:130" s="1324" customFormat="1" ht="14.25" customHeight="1">
      <c r="A630" s="3098" t="s">
        <v>65</v>
      </c>
      <c r="B630" s="82" t="s">
        <v>388</v>
      </c>
      <c r="C630" s="64" t="s">
        <v>81</v>
      </c>
      <c r="D630" s="511"/>
      <c r="E630" s="512"/>
      <c r="F630" s="512"/>
      <c r="G630" s="512"/>
      <c r="H630" s="512"/>
      <c r="I630" s="512"/>
      <c r="J630" s="512"/>
      <c r="K630" s="512"/>
      <c r="L630" s="512"/>
      <c r="M630" s="46"/>
      <c r="N630" s="3094" t="s">
        <v>87</v>
      </c>
      <c r="O630" s="1323"/>
      <c r="P630" s="1323"/>
      <c r="Q630" s="1323"/>
      <c r="R630" s="1323"/>
      <c r="S630" s="1323"/>
      <c r="T630" s="1323"/>
      <c r="U630" s="1323"/>
      <c r="V630" s="1323"/>
      <c r="W630" s="1323"/>
      <c r="X630" s="1323"/>
      <c r="Y630" s="1323"/>
      <c r="Z630" s="1323"/>
      <c r="AA630" s="1323"/>
      <c r="AB630" s="1323"/>
      <c r="AC630" s="1323"/>
      <c r="AD630" s="1323"/>
      <c r="AE630" s="1323"/>
      <c r="AF630" s="1323"/>
      <c r="AG630" s="1323"/>
      <c r="AH630" s="1323"/>
      <c r="AI630" s="1323"/>
      <c r="AJ630" s="1323"/>
      <c r="AK630" s="1323"/>
      <c r="AL630" s="1323"/>
      <c r="AM630" s="1323"/>
      <c r="AN630" s="1323"/>
      <c r="AO630" s="1323"/>
      <c r="AP630" s="1323"/>
      <c r="AQ630" s="1323"/>
      <c r="AR630" s="1323"/>
      <c r="AS630" s="1323"/>
      <c r="AT630" s="1323"/>
      <c r="AU630" s="1323"/>
      <c r="AV630" s="1323"/>
      <c r="AW630" s="1323"/>
      <c r="AX630" s="1323"/>
      <c r="AY630" s="1323"/>
      <c r="AZ630" s="1323"/>
      <c r="BA630" s="1323"/>
      <c r="BB630" s="1323"/>
      <c r="BC630" s="1323"/>
      <c r="BD630" s="1323"/>
      <c r="BE630" s="1323"/>
      <c r="BF630" s="1323"/>
      <c r="BG630" s="1323"/>
      <c r="BH630" s="1323"/>
      <c r="BI630" s="1323"/>
      <c r="BJ630" s="1323"/>
      <c r="BK630" s="1323"/>
      <c r="BL630" s="1323"/>
      <c r="BM630" s="1323"/>
      <c r="BN630" s="1323"/>
      <c r="BO630" s="1323"/>
      <c r="BP630" s="1323"/>
      <c r="BQ630" s="1323"/>
      <c r="BR630" s="1323"/>
      <c r="BS630" s="1323"/>
      <c r="BT630" s="1323"/>
      <c r="BU630" s="1323"/>
      <c r="BV630" s="1323"/>
      <c r="BW630" s="1323"/>
      <c r="BX630" s="1323"/>
      <c r="BY630" s="1323"/>
      <c r="BZ630" s="1323"/>
      <c r="CA630" s="1323"/>
      <c r="CB630" s="1323"/>
      <c r="CC630" s="1323"/>
      <c r="CD630" s="1323"/>
      <c r="CE630" s="1323"/>
      <c r="CF630" s="1323"/>
      <c r="CG630" s="1323"/>
      <c r="CH630" s="1323"/>
      <c r="CI630" s="1323"/>
      <c r="CJ630" s="1323"/>
      <c r="CK630" s="1323"/>
      <c r="CL630" s="1323"/>
      <c r="CM630" s="1323"/>
      <c r="CN630" s="1323"/>
      <c r="CO630" s="1323"/>
      <c r="CP630" s="1323"/>
      <c r="CQ630" s="1323"/>
      <c r="CR630" s="1323"/>
      <c r="CS630" s="1323"/>
      <c r="CT630" s="1323"/>
      <c r="CU630" s="1323"/>
      <c r="CV630" s="1323"/>
      <c r="CW630" s="1323"/>
      <c r="CX630" s="1323"/>
      <c r="CY630" s="1323"/>
      <c r="CZ630" s="1323"/>
      <c r="DA630" s="1323"/>
      <c r="DB630" s="1323"/>
      <c r="DC630" s="1323"/>
      <c r="DD630" s="1323"/>
      <c r="DE630" s="1323"/>
      <c r="DF630" s="1323"/>
      <c r="DG630" s="1323"/>
      <c r="DH630" s="1323"/>
      <c r="DI630" s="1323"/>
      <c r="DJ630" s="1323"/>
      <c r="DK630" s="1323"/>
      <c r="DL630" s="1323"/>
      <c r="DM630" s="1323"/>
      <c r="DN630" s="1323"/>
      <c r="DO630" s="1323"/>
      <c r="DP630" s="1323"/>
      <c r="DQ630" s="1323"/>
      <c r="DR630" s="1323"/>
      <c r="DS630" s="1323"/>
      <c r="DT630" s="1323"/>
      <c r="DU630" s="1323"/>
      <c r="DV630" s="1323"/>
      <c r="DW630" s="1323"/>
      <c r="DX630" s="1323"/>
      <c r="DY630" s="1323"/>
      <c r="DZ630" s="1323"/>
    </row>
    <row r="631" spans="1:130" s="1323" customFormat="1" ht="12.75" customHeight="1">
      <c r="A631" s="3099"/>
      <c r="B631" s="626" t="s">
        <v>10</v>
      </c>
      <c r="C631" s="2974"/>
      <c r="D631" s="2983">
        <f>+D632</f>
        <v>8828560</v>
      </c>
      <c r="E631" s="2975">
        <f t="shared" ref="E631:I632" si="364">+E632</f>
        <v>3130167</v>
      </c>
      <c r="F631" s="2975">
        <f t="shared" si="364"/>
        <v>919160</v>
      </c>
      <c r="G631" s="2975">
        <f t="shared" si="364"/>
        <v>688733</v>
      </c>
      <c r="H631" s="2975">
        <f t="shared" si="364"/>
        <v>2020500</v>
      </c>
      <c r="I631" s="2975">
        <f t="shared" si="364"/>
        <v>2070000</v>
      </c>
      <c r="J631" s="2981">
        <v>0</v>
      </c>
      <c r="K631" s="2981">
        <v>0</v>
      </c>
      <c r="L631" s="2981">
        <v>0</v>
      </c>
      <c r="M631" s="2849">
        <f>+M632</f>
        <v>5698393</v>
      </c>
      <c r="N631" s="3095"/>
      <c r="O631" s="1313"/>
    </row>
    <row r="632" spans="1:130" s="1323" customFormat="1" ht="14.25" customHeight="1">
      <c r="A632" s="3099"/>
      <c r="B632" s="832" t="s">
        <v>24</v>
      </c>
      <c r="C632" s="3146" t="s">
        <v>84</v>
      </c>
      <c r="D632" s="125">
        <f>+D633</f>
        <v>8828560</v>
      </c>
      <c r="E632" s="2976">
        <f t="shared" si="364"/>
        <v>3130167</v>
      </c>
      <c r="F632" s="2976">
        <f t="shared" si="364"/>
        <v>919160</v>
      </c>
      <c r="G632" s="2976">
        <f t="shared" si="364"/>
        <v>688733</v>
      </c>
      <c r="H632" s="2976">
        <f t="shared" si="364"/>
        <v>2020500</v>
      </c>
      <c r="I632" s="2976">
        <f t="shared" si="364"/>
        <v>2070000</v>
      </c>
      <c r="J632" s="2979">
        <v>0</v>
      </c>
      <c r="K632" s="2979">
        <v>0</v>
      </c>
      <c r="L632" s="2979">
        <v>0</v>
      </c>
      <c r="M632" s="2938">
        <f>+M633</f>
        <v>5698393</v>
      </c>
      <c r="N632" s="3095"/>
    </row>
    <row r="633" spans="1:130" s="1323" customFormat="1" ht="13.5" customHeight="1" thickBot="1">
      <c r="A633" s="3100"/>
      <c r="B633" s="1389" t="s">
        <v>12</v>
      </c>
      <c r="C633" s="3120"/>
      <c r="D633" s="1337">
        <f>E633+F633+G633+H633+I633+J633+K633+L633</f>
        <v>8828560</v>
      </c>
      <c r="E633" s="1337">
        <v>3130167</v>
      </c>
      <c r="F633" s="620">
        <f>1925000+100000-1300000+50351+160000+51342-67533</f>
        <v>919160</v>
      </c>
      <c r="G633" s="620">
        <f>1971200-850000-500000+67533</f>
        <v>688733</v>
      </c>
      <c r="H633" s="620">
        <v>2020500</v>
      </c>
      <c r="I633" s="620">
        <v>2070000</v>
      </c>
      <c r="J633" s="1398">
        <v>0</v>
      </c>
      <c r="K633" s="1398">
        <v>0</v>
      </c>
      <c r="L633" s="1398">
        <v>0</v>
      </c>
      <c r="M633" s="1399">
        <f>SUM(F633:L633)</f>
        <v>5698393</v>
      </c>
      <c r="N633" s="3101"/>
      <c r="O633" s="1325"/>
    </row>
    <row r="634" spans="1:130" s="1314" customFormat="1" ht="23.25" customHeight="1">
      <c r="A634" s="3261" t="s">
        <v>66</v>
      </c>
      <c r="B634" s="1849" t="s">
        <v>234</v>
      </c>
      <c r="C634" s="64" t="s">
        <v>81</v>
      </c>
      <c r="D634" s="117"/>
      <c r="E634" s="271"/>
      <c r="F634" s="271"/>
      <c r="G634" s="271"/>
      <c r="H634" s="271"/>
      <c r="I634" s="271"/>
      <c r="J634" s="271"/>
      <c r="K634" s="271"/>
      <c r="L634" s="271"/>
      <c r="M634" s="46"/>
      <c r="N634" s="3264" t="s">
        <v>249</v>
      </c>
    </row>
    <row r="635" spans="1:130" s="1314" customFormat="1" ht="12">
      <c r="A635" s="3262"/>
      <c r="B635" s="89" t="s">
        <v>10</v>
      </c>
      <c r="C635" s="22"/>
      <c r="D635" s="146">
        <f>+D636</f>
        <v>45601289</v>
      </c>
      <c r="E635" s="120">
        <f t="shared" ref="E635:M636" si="365">+E636</f>
        <v>31401289</v>
      </c>
      <c r="F635" s="120">
        <f t="shared" si="365"/>
        <v>5000000</v>
      </c>
      <c r="G635" s="120">
        <f t="shared" si="365"/>
        <v>5000000</v>
      </c>
      <c r="H635" s="120">
        <f t="shared" si="365"/>
        <v>2700000</v>
      </c>
      <c r="I635" s="120">
        <f t="shared" si="365"/>
        <v>1500000</v>
      </c>
      <c r="J635" s="120"/>
      <c r="K635" s="120"/>
      <c r="L635" s="120"/>
      <c r="M635" s="33">
        <f t="shared" si="365"/>
        <v>14200000</v>
      </c>
      <c r="N635" s="3265"/>
      <c r="O635" s="1313"/>
    </row>
    <row r="636" spans="1:130" s="1314" customFormat="1" ht="12">
      <c r="A636" s="3262"/>
      <c r="B636" s="256" t="s">
        <v>24</v>
      </c>
      <c r="C636" s="3091" t="s">
        <v>113</v>
      </c>
      <c r="D636" s="125">
        <f>+D637</f>
        <v>45601289</v>
      </c>
      <c r="E636" s="122">
        <f t="shared" si="365"/>
        <v>31401289</v>
      </c>
      <c r="F636" s="122">
        <f t="shared" si="365"/>
        <v>5000000</v>
      </c>
      <c r="G636" s="122">
        <f t="shared" si="365"/>
        <v>5000000</v>
      </c>
      <c r="H636" s="122">
        <f t="shared" si="365"/>
        <v>2700000</v>
      </c>
      <c r="I636" s="122">
        <f t="shared" si="365"/>
        <v>1500000</v>
      </c>
      <c r="J636" s="1850"/>
      <c r="K636" s="1850"/>
      <c r="L636" s="1850"/>
      <c r="M636" s="124">
        <f>+M637</f>
        <v>14200000</v>
      </c>
      <c r="N636" s="3265"/>
    </row>
    <row r="637" spans="1:130" s="1314" customFormat="1" thickBot="1">
      <c r="A637" s="3263"/>
      <c r="B637" s="338" t="s">
        <v>12</v>
      </c>
      <c r="C637" s="3107"/>
      <c r="D637" s="280">
        <f>E637+F637+G637+H637+I637+J637+K637+L637</f>
        <v>45601289</v>
      </c>
      <c r="E637" s="321">
        <v>31401289</v>
      </c>
      <c r="F637" s="1851">
        <v>5000000</v>
      </c>
      <c r="G637" s="1851">
        <v>5000000</v>
      </c>
      <c r="H637" s="1851">
        <v>2700000</v>
      </c>
      <c r="I637" s="1851">
        <v>1500000</v>
      </c>
      <c r="J637" s="1852"/>
      <c r="K637" s="1852"/>
      <c r="L637" s="1852"/>
      <c r="M637" s="37">
        <f>SUM(F637:L637)</f>
        <v>14200000</v>
      </c>
      <c r="N637" s="3266"/>
      <c r="O637" s="1313"/>
    </row>
    <row r="638" spans="1:130" s="1314" customFormat="1" ht="14.25" hidden="1" customHeight="1">
      <c r="A638" s="3098"/>
      <c r="B638" s="317"/>
      <c r="C638" s="64" t="s">
        <v>81</v>
      </c>
      <c r="D638" s="144"/>
      <c r="E638" s="45"/>
      <c r="F638" s="509"/>
      <c r="G638" s="509"/>
      <c r="H638" s="509"/>
      <c r="I638" s="509"/>
      <c r="J638" s="45"/>
      <c r="K638" s="45"/>
      <c r="L638" s="45"/>
      <c r="M638" s="46"/>
      <c r="N638" s="3094" t="s">
        <v>87</v>
      </c>
    </row>
    <row r="639" spans="1:130" s="1314" customFormat="1" ht="13.5" hidden="1" customHeight="1">
      <c r="A639" s="3099"/>
      <c r="B639" s="21" t="s">
        <v>10</v>
      </c>
      <c r="C639" s="22"/>
      <c r="D639" s="142">
        <f>+D640</f>
        <v>0</v>
      </c>
      <c r="E639" s="142">
        <v>0</v>
      </c>
      <c r="F639" s="330">
        <v>0</v>
      </c>
      <c r="G639" s="330">
        <v>0</v>
      </c>
      <c r="H639" s="330">
        <v>0</v>
      </c>
      <c r="I639" s="330">
        <v>0</v>
      </c>
      <c r="J639" s="330">
        <v>0</v>
      </c>
      <c r="K639" s="330">
        <v>0</v>
      </c>
      <c r="L639" s="330">
        <v>0</v>
      </c>
      <c r="M639" s="71">
        <f>+M640</f>
        <v>0</v>
      </c>
      <c r="N639" s="3095"/>
      <c r="O639" s="1313" t="e">
        <f>+#REF!+#REF!+F639+G639</f>
        <v>#REF!</v>
      </c>
    </row>
    <row r="640" spans="1:130" s="1314" customFormat="1" ht="12.75" hidden="1" customHeight="1">
      <c r="A640" s="3099"/>
      <c r="B640" s="189" t="s">
        <v>24</v>
      </c>
      <c r="C640" s="3091" t="s">
        <v>84</v>
      </c>
      <c r="D640" s="143">
        <f>+D641+D642</f>
        <v>0</v>
      </c>
      <c r="E640" s="143">
        <v>0</v>
      </c>
      <c r="F640" s="331">
        <v>0</v>
      </c>
      <c r="G640" s="331">
        <v>0</v>
      </c>
      <c r="H640" s="331">
        <v>0</v>
      </c>
      <c r="I640" s="331">
        <v>0</v>
      </c>
      <c r="J640" s="331">
        <v>0</v>
      </c>
      <c r="K640" s="331">
        <v>0</v>
      </c>
      <c r="L640" s="331">
        <v>0</v>
      </c>
      <c r="M640" s="88">
        <f>+M641+M642</f>
        <v>0</v>
      </c>
      <c r="N640" s="3095"/>
      <c r="O640" s="1314" t="s">
        <v>275</v>
      </c>
    </row>
    <row r="641" spans="1:15" s="1314" customFormat="1" ht="12" hidden="1">
      <c r="A641" s="3099"/>
      <c r="B641" s="544" t="s">
        <v>12</v>
      </c>
      <c r="C641" s="3149"/>
      <c r="D641" s="280">
        <f>E641+F641+G641+H641+I641+J641+K641+L641</f>
        <v>0</v>
      </c>
      <c r="E641" s="97">
        <v>0</v>
      </c>
      <c r="F641" s="332">
        <v>0</v>
      </c>
      <c r="G641" s="332">
        <v>0</v>
      </c>
      <c r="H641" s="332">
        <v>0</v>
      </c>
      <c r="I641" s="332">
        <v>0</v>
      </c>
      <c r="J641" s="332">
        <v>0</v>
      </c>
      <c r="K641" s="332">
        <v>0</v>
      </c>
      <c r="L641" s="332">
        <v>0</v>
      </c>
      <c r="M641" s="37">
        <f>SUM(F641:I641)</f>
        <v>0</v>
      </c>
      <c r="N641" s="3095"/>
    </row>
    <row r="642" spans="1:15" s="1314" customFormat="1" ht="12" hidden="1">
      <c r="A642" s="3099"/>
      <c r="B642" s="545" t="s">
        <v>15</v>
      </c>
      <c r="C642" s="3124"/>
      <c r="D642" s="280">
        <f>E642+F642+G642+H642+I642+J642+K642+L642</f>
        <v>0</v>
      </c>
      <c r="E642" s="97">
        <v>0</v>
      </c>
      <c r="F642" s="332">
        <v>0</v>
      </c>
      <c r="G642" s="332">
        <v>0</v>
      </c>
      <c r="H642" s="332">
        <v>0</v>
      </c>
      <c r="I642" s="332">
        <v>0</v>
      </c>
      <c r="J642" s="332">
        <v>0</v>
      </c>
      <c r="K642" s="332">
        <v>0</v>
      </c>
      <c r="L642" s="332">
        <v>0</v>
      </c>
      <c r="M642" s="37">
        <f>SUM(F642:I642)</f>
        <v>0</v>
      </c>
      <c r="N642" s="2989"/>
    </row>
    <row r="643" spans="1:15" s="1314" customFormat="1" ht="10.5" hidden="1" customHeight="1">
      <c r="A643" s="3099"/>
      <c r="B643" s="21" t="s">
        <v>22</v>
      </c>
      <c r="C643" s="22"/>
      <c r="D643" s="142">
        <f>+D644</f>
        <v>0</v>
      </c>
      <c r="E643" s="142">
        <v>0</v>
      </c>
      <c r="F643" s="330">
        <v>0</v>
      </c>
      <c r="G643" s="330">
        <v>0</v>
      </c>
      <c r="H643" s="330">
        <v>0</v>
      </c>
      <c r="I643" s="330">
        <v>0</v>
      </c>
      <c r="J643" s="330">
        <v>0</v>
      </c>
      <c r="K643" s="330">
        <v>0</v>
      </c>
      <c r="L643" s="330">
        <v>0</v>
      </c>
      <c r="M643" s="3152" t="s">
        <v>23</v>
      </c>
      <c r="N643" s="3150" t="s">
        <v>104</v>
      </c>
    </row>
    <row r="644" spans="1:15" s="1314" customFormat="1" ht="12.75" hidden="1" customHeight="1">
      <c r="A644" s="3099"/>
      <c r="B644" s="189" t="s">
        <v>24</v>
      </c>
      <c r="C644" s="3102" t="s">
        <v>84</v>
      </c>
      <c r="D644" s="143">
        <f>+D645</f>
        <v>0</v>
      </c>
      <c r="E644" s="143">
        <v>0</v>
      </c>
      <c r="F644" s="331">
        <v>0</v>
      </c>
      <c r="G644" s="331">
        <v>0</v>
      </c>
      <c r="H644" s="331">
        <v>0</v>
      </c>
      <c r="I644" s="331">
        <v>0</v>
      </c>
      <c r="J644" s="331">
        <v>0</v>
      </c>
      <c r="K644" s="331">
        <v>0</v>
      </c>
      <c r="L644" s="331">
        <v>0</v>
      </c>
      <c r="M644" s="3117"/>
      <c r="N644" s="3095"/>
    </row>
    <row r="645" spans="1:15" s="1314" customFormat="1" ht="13.5" hidden="1" customHeight="1" thickBot="1">
      <c r="A645" s="3100"/>
      <c r="B645" s="543" t="s">
        <v>15</v>
      </c>
      <c r="C645" s="3103"/>
      <c r="D645" s="280">
        <f>E645+F645+G645+H645+I645+J645+K645+L645</f>
        <v>0</v>
      </c>
      <c r="E645" s="85">
        <v>0</v>
      </c>
      <c r="F645" s="332">
        <v>0</v>
      </c>
      <c r="G645" s="332">
        <v>0</v>
      </c>
      <c r="H645" s="332">
        <v>0</v>
      </c>
      <c r="I645" s="332">
        <v>0</v>
      </c>
      <c r="J645" s="332">
        <v>0</v>
      </c>
      <c r="K645" s="332">
        <v>0</v>
      </c>
      <c r="L645" s="332">
        <v>0</v>
      </c>
      <c r="M645" s="3118"/>
      <c r="N645" s="3101"/>
    </row>
    <row r="646" spans="1:15" s="1314" customFormat="1" ht="25.5" customHeight="1">
      <c r="A646" s="3098" t="s">
        <v>67</v>
      </c>
      <c r="B646" s="317" t="s">
        <v>456</v>
      </c>
      <c r="C646" s="64" t="s">
        <v>81</v>
      </c>
      <c r="D646" s="43"/>
      <c r="E646" s="43"/>
      <c r="F646" s="45"/>
      <c r="G646" s="45"/>
      <c r="H646" s="45"/>
      <c r="I646" s="45"/>
      <c r="J646" s="45"/>
      <c r="K646" s="45"/>
      <c r="L646" s="45"/>
      <c r="M646" s="46"/>
      <c r="N646" s="3094" t="s">
        <v>87</v>
      </c>
    </row>
    <row r="647" spans="1:15" s="1314" customFormat="1" ht="12.75" customHeight="1">
      <c r="A647" s="3099"/>
      <c r="B647" s="21" t="s">
        <v>10</v>
      </c>
      <c r="C647" s="22"/>
      <c r="D647" s="142">
        <f>+D648</f>
        <v>1778306</v>
      </c>
      <c r="E647" s="142">
        <f t="shared" ref="E647:F648" si="366">+E648</f>
        <v>503620</v>
      </c>
      <c r="F647" s="142">
        <f t="shared" si="366"/>
        <v>1274686</v>
      </c>
      <c r="G647" s="330">
        <v>0</v>
      </c>
      <c r="H647" s="330">
        <v>0</v>
      </c>
      <c r="I647" s="330">
        <v>0</v>
      </c>
      <c r="J647" s="330">
        <v>0</v>
      </c>
      <c r="K647" s="330">
        <v>0</v>
      </c>
      <c r="L647" s="330">
        <v>0</v>
      </c>
      <c r="M647" s="71">
        <f>+M648</f>
        <v>1274686</v>
      </c>
      <c r="N647" s="3095"/>
      <c r="O647" s="1313"/>
    </row>
    <row r="648" spans="1:15" s="1314" customFormat="1" ht="12.75" customHeight="1">
      <c r="A648" s="3099"/>
      <c r="B648" s="189" t="s">
        <v>24</v>
      </c>
      <c r="C648" s="3091" t="s">
        <v>84</v>
      </c>
      <c r="D648" s="143">
        <f>+D649</f>
        <v>1778306</v>
      </c>
      <c r="E648" s="143">
        <f t="shared" si="366"/>
        <v>503620</v>
      </c>
      <c r="F648" s="143">
        <f t="shared" si="366"/>
        <v>1274686</v>
      </c>
      <c r="G648" s="331">
        <v>0</v>
      </c>
      <c r="H648" s="331">
        <v>0</v>
      </c>
      <c r="I648" s="331">
        <v>0</v>
      </c>
      <c r="J648" s="331">
        <v>0</v>
      </c>
      <c r="K648" s="331">
        <v>0</v>
      </c>
      <c r="L648" s="331">
        <v>0</v>
      </c>
      <c r="M648" s="88">
        <f>+M649</f>
        <v>1274686</v>
      </c>
      <c r="N648" s="3095"/>
    </row>
    <row r="649" spans="1:15" s="1314" customFormat="1" ht="13.5" customHeight="1">
      <c r="A649" s="3099"/>
      <c r="B649" s="2249" t="s">
        <v>12</v>
      </c>
      <c r="C649" s="3092"/>
      <c r="D649" s="280">
        <f>E649+F649+G649+H649+I649+J649+K649+L649</f>
        <v>1778306</v>
      </c>
      <c r="E649" s="321">
        <v>503620</v>
      </c>
      <c r="F649" s="97">
        <f>1239686+35000</f>
        <v>1274686</v>
      </c>
      <c r="G649" s="332">
        <v>0</v>
      </c>
      <c r="H649" s="332">
        <v>0</v>
      </c>
      <c r="I649" s="332">
        <v>0</v>
      </c>
      <c r="J649" s="332">
        <v>0</v>
      </c>
      <c r="K649" s="332">
        <v>0</v>
      </c>
      <c r="L649" s="332">
        <v>0</v>
      </c>
      <c r="M649" s="37">
        <f>SUM(F649:L649)</f>
        <v>1274686</v>
      </c>
      <c r="N649" s="3110"/>
    </row>
    <row r="650" spans="1:15" s="1314" customFormat="1" ht="12.75" customHeight="1">
      <c r="A650" s="3099"/>
      <c r="B650" s="91" t="s">
        <v>22</v>
      </c>
      <c r="C650" s="551"/>
      <c r="D650" s="142">
        <f>+D651</f>
        <v>35000</v>
      </c>
      <c r="E650" s="330">
        <v>0</v>
      </c>
      <c r="F650" s="142">
        <f t="shared" ref="F650:L651" si="367">+F651</f>
        <v>35000</v>
      </c>
      <c r="G650" s="330">
        <f t="shared" si="367"/>
        <v>0</v>
      </c>
      <c r="H650" s="330">
        <f t="shared" si="367"/>
        <v>0</v>
      </c>
      <c r="I650" s="330">
        <f t="shared" si="367"/>
        <v>0</v>
      </c>
      <c r="J650" s="330">
        <f t="shared" si="367"/>
        <v>0</v>
      </c>
      <c r="K650" s="330">
        <f t="shared" si="367"/>
        <v>0</v>
      </c>
      <c r="L650" s="330">
        <f t="shared" si="367"/>
        <v>0</v>
      </c>
      <c r="M650" s="3151" t="s">
        <v>23</v>
      </c>
      <c r="N650" s="2987"/>
    </row>
    <row r="651" spans="1:15" s="1314" customFormat="1" ht="12.75" customHeight="1">
      <c r="A651" s="3099"/>
      <c r="B651" s="189" t="s">
        <v>24</v>
      </c>
      <c r="C651" s="3091" t="s">
        <v>84</v>
      </c>
      <c r="D651" s="143">
        <f>+D652</f>
        <v>35000</v>
      </c>
      <c r="E651" s="331">
        <v>0</v>
      </c>
      <c r="F651" s="143">
        <f t="shared" si="367"/>
        <v>35000</v>
      </c>
      <c r="G651" s="331">
        <f t="shared" si="367"/>
        <v>0</v>
      </c>
      <c r="H651" s="331">
        <f t="shared" si="367"/>
        <v>0</v>
      </c>
      <c r="I651" s="331">
        <f t="shared" si="367"/>
        <v>0</v>
      </c>
      <c r="J651" s="331">
        <f t="shared" si="367"/>
        <v>0</v>
      </c>
      <c r="K651" s="331">
        <f t="shared" si="367"/>
        <v>0</v>
      </c>
      <c r="L651" s="331">
        <f t="shared" si="367"/>
        <v>0</v>
      </c>
      <c r="M651" s="3114"/>
      <c r="N651" s="2987" t="s">
        <v>104</v>
      </c>
    </row>
    <row r="652" spans="1:15" s="1314" customFormat="1" ht="13.5" customHeight="1" thickBot="1">
      <c r="A652" s="3100"/>
      <c r="B652" s="547" t="s">
        <v>12</v>
      </c>
      <c r="C652" s="3092"/>
      <c r="D652" s="280">
        <f>E652+F652+G652+H652+I652+J652+K652+L652</f>
        <v>35000</v>
      </c>
      <c r="E652" s="321">
        <v>0</v>
      </c>
      <c r="F652" s="1851">
        <v>35000</v>
      </c>
      <c r="G652" s="350">
        <v>0</v>
      </c>
      <c r="H652" s="350">
        <v>0</v>
      </c>
      <c r="I652" s="350">
        <v>0</v>
      </c>
      <c r="J652" s="350">
        <v>0</v>
      </c>
      <c r="K652" s="350">
        <v>0</v>
      </c>
      <c r="L652" s="350">
        <v>0</v>
      </c>
      <c r="M652" s="3115"/>
      <c r="N652" s="2987"/>
    </row>
    <row r="653" spans="1:15" s="1314" customFormat="1" ht="22.5" hidden="1" customHeight="1">
      <c r="A653" s="3098"/>
      <c r="B653" s="317"/>
      <c r="C653" s="64" t="s">
        <v>81</v>
      </c>
      <c r="D653" s="144"/>
      <c r="E653" s="45"/>
      <c r="F653" s="45"/>
      <c r="G653" s="45"/>
      <c r="H653" s="266"/>
      <c r="I653" s="112"/>
      <c r="J653" s="266"/>
      <c r="K653" s="266"/>
      <c r="L653" s="266"/>
      <c r="M653" s="46"/>
      <c r="N653" s="3094" t="s">
        <v>87</v>
      </c>
    </row>
    <row r="654" spans="1:15" s="1314" customFormat="1" ht="12.75" hidden="1" customHeight="1">
      <c r="A654" s="3099"/>
      <c r="B654" s="21" t="s">
        <v>10</v>
      </c>
      <c r="C654" s="22"/>
      <c r="D654" s="142">
        <f>+D655</f>
        <v>0</v>
      </c>
      <c r="E654" s="142">
        <v>0</v>
      </c>
      <c r="F654" s="330">
        <v>0</v>
      </c>
      <c r="G654" s="330">
        <v>0</v>
      </c>
      <c r="H654" s="330">
        <v>0</v>
      </c>
      <c r="I654" s="330">
        <v>0</v>
      </c>
      <c r="J654" s="330">
        <v>0</v>
      </c>
      <c r="K654" s="330">
        <v>0</v>
      </c>
      <c r="L654" s="330">
        <v>0</v>
      </c>
      <c r="M654" s="233">
        <f>+M655</f>
        <v>0</v>
      </c>
      <c r="N654" s="3095"/>
      <c r="O654" s="1313" t="e">
        <f>+#REF!+#REF!+F654+G654</f>
        <v>#REF!</v>
      </c>
    </row>
    <row r="655" spans="1:15" s="1314" customFormat="1" ht="12.75" hidden="1" customHeight="1">
      <c r="A655" s="3099"/>
      <c r="B655" s="189" t="s">
        <v>24</v>
      </c>
      <c r="C655" s="3091" t="s">
        <v>84</v>
      </c>
      <c r="D655" s="143">
        <f>+D656+D657</f>
        <v>0</v>
      </c>
      <c r="E655" s="143">
        <v>0</v>
      </c>
      <c r="F655" s="331">
        <v>0</v>
      </c>
      <c r="G655" s="331">
        <v>0</v>
      </c>
      <c r="H655" s="331">
        <v>0</v>
      </c>
      <c r="I655" s="331">
        <v>0</v>
      </c>
      <c r="J655" s="331">
        <v>0</v>
      </c>
      <c r="K655" s="331">
        <v>0</v>
      </c>
      <c r="L655" s="331">
        <v>0</v>
      </c>
      <c r="M655" s="88">
        <f>+M656</f>
        <v>0</v>
      </c>
      <c r="N655" s="3095"/>
    </row>
    <row r="656" spans="1:15" s="1314" customFormat="1" ht="12.75" hidden="1" customHeight="1">
      <c r="A656" s="3099"/>
      <c r="B656" s="544" t="s">
        <v>12</v>
      </c>
      <c r="C656" s="3149"/>
      <c r="D656" s="280">
        <f>E656+F656+G656+H656+I656+J656+K656+L656</f>
        <v>0</v>
      </c>
      <c r="E656" s="321">
        <v>0</v>
      </c>
      <c r="F656" s="332">
        <v>0</v>
      </c>
      <c r="G656" s="332">
        <v>0</v>
      </c>
      <c r="H656" s="332">
        <v>0</v>
      </c>
      <c r="I656" s="332">
        <v>0</v>
      </c>
      <c r="J656" s="332">
        <v>0</v>
      </c>
      <c r="K656" s="332">
        <v>0</v>
      </c>
      <c r="L656" s="332">
        <v>0</v>
      </c>
      <c r="M656" s="37">
        <f>SUM(F656:I656)</f>
        <v>0</v>
      </c>
      <c r="N656" s="3095"/>
    </row>
    <row r="657" spans="1:15" s="1314" customFormat="1" ht="12.75" hidden="1" customHeight="1">
      <c r="A657" s="3099"/>
      <c r="B657" s="545" t="s">
        <v>15</v>
      </c>
      <c r="C657" s="3124"/>
      <c r="D657" s="280">
        <f>E657+F657+G657+H657+I657+J657+K657+L657</f>
        <v>0</v>
      </c>
      <c r="E657" s="321">
        <v>0</v>
      </c>
      <c r="F657" s="332">
        <v>0</v>
      </c>
      <c r="G657" s="332">
        <v>0</v>
      </c>
      <c r="H657" s="332">
        <v>0</v>
      </c>
      <c r="I657" s="332">
        <v>0</v>
      </c>
      <c r="J657" s="332">
        <v>0</v>
      </c>
      <c r="K657" s="332">
        <v>0</v>
      </c>
      <c r="L657" s="332">
        <v>0</v>
      </c>
      <c r="M657" s="37">
        <f>SUM(F657:I657)</f>
        <v>0</v>
      </c>
      <c r="N657" s="2989"/>
    </row>
    <row r="658" spans="1:15" s="1314" customFormat="1" ht="12.75" hidden="1" customHeight="1">
      <c r="A658" s="3099"/>
      <c r="B658" s="21" t="s">
        <v>22</v>
      </c>
      <c r="C658" s="22"/>
      <c r="D658" s="142">
        <f>+D659</f>
        <v>0</v>
      </c>
      <c r="E658" s="142">
        <v>0</v>
      </c>
      <c r="F658" s="330">
        <v>0</v>
      </c>
      <c r="G658" s="330">
        <v>0</v>
      </c>
      <c r="H658" s="330">
        <v>0</v>
      </c>
      <c r="I658" s="330">
        <v>0</v>
      </c>
      <c r="J658" s="330">
        <v>0</v>
      </c>
      <c r="K658" s="330">
        <v>0</v>
      </c>
      <c r="L658" s="330">
        <v>0</v>
      </c>
      <c r="M658" s="3113" t="s">
        <v>23</v>
      </c>
      <c r="N658" s="3150" t="s">
        <v>104</v>
      </c>
    </row>
    <row r="659" spans="1:15" s="1314" customFormat="1" ht="12.75" hidden="1" customHeight="1">
      <c r="A659" s="3099"/>
      <c r="B659" s="189" t="s">
        <v>24</v>
      </c>
      <c r="C659" s="3102" t="s">
        <v>84</v>
      </c>
      <c r="D659" s="143">
        <f>+D660</f>
        <v>0</v>
      </c>
      <c r="E659" s="143">
        <v>0</v>
      </c>
      <c r="F659" s="331">
        <v>0</v>
      </c>
      <c r="G659" s="331">
        <v>0</v>
      </c>
      <c r="H659" s="331">
        <v>0</v>
      </c>
      <c r="I659" s="331">
        <v>0</v>
      </c>
      <c r="J659" s="331">
        <v>0</v>
      </c>
      <c r="K659" s="331">
        <v>0</v>
      </c>
      <c r="L659" s="331">
        <v>0</v>
      </c>
      <c r="M659" s="3114"/>
      <c r="N659" s="3095"/>
    </row>
    <row r="660" spans="1:15" s="1314" customFormat="1" ht="13.5" hidden="1" customHeight="1" thickBot="1">
      <c r="A660" s="3100"/>
      <c r="B660" s="543" t="s">
        <v>15</v>
      </c>
      <c r="C660" s="3103"/>
      <c r="D660" s="280">
        <f>E660+F660+G660+H660+I660+J660+K660+L660</f>
        <v>0</v>
      </c>
      <c r="E660" s="321"/>
      <c r="F660" s="332">
        <v>0</v>
      </c>
      <c r="G660" s="332">
        <v>0</v>
      </c>
      <c r="H660" s="332">
        <v>0</v>
      </c>
      <c r="I660" s="332">
        <v>0</v>
      </c>
      <c r="J660" s="332">
        <v>0</v>
      </c>
      <c r="K660" s="332">
        <v>0</v>
      </c>
      <c r="L660" s="332">
        <v>0</v>
      </c>
      <c r="M660" s="3115"/>
      <c r="N660" s="3101"/>
    </row>
    <row r="661" spans="1:15" s="1314" customFormat="1" ht="26.25" hidden="1" customHeight="1">
      <c r="A661" s="3098"/>
      <c r="B661" s="317"/>
      <c r="C661" s="64"/>
      <c r="D661" s="144"/>
      <c r="E661" s="45"/>
      <c r="F661" s="45"/>
      <c r="G661" s="45"/>
      <c r="H661" s="45"/>
      <c r="I661" s="113"/>
      <c r="J661" s="266"/>
      <c r="K661" s="266"/>
      <c r="L661" s="266"/>
      <c r="M661" s="266"/>
      <c r="N661" s="3094" t="s">
        <v>87</v>
      </c>
    </row>
    <row r="662" spans="1:15" s="1314" customFormat="1" ht="12" hidden="1">
      <c r="A662" s="3099"/>
      <c r="B662" s="21" t="s">
        <v>10</v>
      </c>
      <c r="C662" s="551"/>
      <c r="D662" s="536"/>
      <c r="E662" s="537"/>
      <c r="F662" s="537"/>
      <c r="G662" s="537"/>
      <c r="H662" s="537"/>
      <c r="I662" s="537"/>
      <c r="J662" s="537"/>
      <c r="K662" s="537"/>
      <c r="L662" s="537"/>
      <c r="M662" s="558">
        <f>+M663</f>
        <v>0</v>
      </c>
      <c r="N662" s="3095"/>
    </row>
    <row r="663" spans="1:15" s="1314" customFormat="1" ht="12" hidden="1">
      <c r="A663" s="3099"/>
      <c r="B663" s="189" t="s">
        <v>24</v>
      </c>
      <c r="C663" s="3096" t="s">
        <v>84</v>
      </c>
      <c r="D663" s="557"/>
      <c r="E663" s="559"/>
      <c r="F663" s="559"/>
      <c r="G663" s="559"/>
      <c r="H663" s="559"/>
      <c r="I663" s="559"/>
      <c r="J663" s="559"/>
      <c r="K663" s="559"/>
      <c r="L663" s="559"/>
      <c r="M663" s="560">
        <f>+M664</f>
        <v>0</v>
      </c>
      <c r="N663" s="3095"/>
    </row>
    <row r="664" spans="1:15" s="1314" customFormat="1" ht="12" hidden="1">
      <c r="A664" s="3099"/>
      <c r="B664" s="546" t="s">
        <v>12</v>
      </c>
      <c r="C664" s="3097"/>
      <c r="D664" s="1331"/>
      <c r="E664" s="1331"/>
      <c r="F664" s="510"/>
      <c r="G664" s="510"/>
      <c r="H664" s="510"/>
      <c r="I664" s="510"/>
      <c r="J664" s="510"/>
      <c r="K664" s="510"/>
      <c r="L664" s="510"/>
      <c r="M664" s="37">
        <f>SUM(F664:L664)</f>
        <v>0</v>
      </c>
      <c r="N664" s="3095"/>
    </row>
    <row r="665" spans="1:15" s="1314" customFormat="1" ht="12" hidden="1">
      <c r="A665" s="3099"/>
      <c r="B665" s="21" t="s">
        <v>22</v>
      </c>
      <c r="C665" s="551"/>
      <c r="D665" s="536"/>
      <c r="E665" s="537"/>
      <c r="F665" s="537"/>
      <c r="G665" s="537"/>
      <c r="H665" s="537"/>
      <c r="I665" s="537"/>
      <c r="J665" s="537"/>
      <c r="K665" s="537"/>
      <c r="L665" s="537"/>
      <c r="M665" s="3151" t="s">
        <v>23</v>
      </c>
      <c r="N665" s="3138" t="s">
        <v>104</v>
      </c>
    </row>
    <row r="666" spans="1:15" s="1314" customFormat="1" ht="12" hidden="1">
      <c r="A666" s="3099"/>
      <c r="B666" s="189" t="s">
        <v>24</v>
      </c>
      <c r="C666" s="3096">
        <v>75802</v>
      </c>
      <c r="D666" s="557"/>
      <c r="E666" s="559"/>
      <c r="F666" s="559"/>
      <c r="G666" s="559"/>
      <c r="H666" s="559"/>
      <c r="I666" s="559"/>
      <c r="J666" s="559"/>
      <c r="K666" s="559"/>
      <c r="L666" s="559"/>
      <c r="M666" s="3114"/>
      <c r="N666" s="3095"/>
    </row>
    <row r="667" spans="1:15" s="1314" customFormat="1" hidden="1" thickBot="1">
      <c r="A667" s="3100"/>
      <c r="B667" s="543" t="s">
        <v>335</v>
      </c>
      <c r="C667" s="3103"/>
      <c r="D667" s="1331"/>
      <c r="E667" s="1331"/>
      <c r="F667" s="350"/>
      <c r="G667" s="350"/>
      <c r="H667" s="350"/>
      <c r="I667" s="350"/>
      <c r="J667" s="350"/>
      <c r="K667" s="350"/>
      <c r="L667" s="350"/>
      <c r="M667" s="3115"/>
      <c r="N667" s="3101"/>
    </row>
    <row r="668" spans="1:15" s="1314" customFormat="1" ht="15" customHeight="1">
      <c r="A668" s="3098" t="s">
        <v>117</v>
      </c>
      <c r="B668" s="317" t="s">
        <v>564</v>
      </c>
      <c r="C668" s="64" t="s">
        <v>111</v>
      </c>
      <c r="D668" s="144"/>
      <c r="E668" s="45"/>
      <c r="F668" s="45"/>
      <c r="G668" s="45"/>
      <c r="H668" s="45"/>
      <c r="I668" s="113"/>
      <c r="J668" s="45"/>
      <c r="K668" s="45"/>
      <c r="L668" s="45"/>
      <c r="M668" s="46"/>
      <c r="N668" s="3094" t="s">
        <v>104</v>
      </c>
    </row>
    <row r="669" spans="1:15" s="1314" customFormat="1" ht="12">
      <c r="A669" s="3099"/>
      <c r="B669" s="826" t="s">
        <v>10</v>
      </c>
      <c r="C669" s="1105"/>
      <c r="D669" s="805">
        <f>+D670</f>
        <v>23944839</v>
      </c>
      <c r="E669" s="805">
        <f t="shared" ref="E669:J670" si="368">+E670</f>
        <v>6358217</v>
      </c>
      <c r="F669" s="805">
        <f t="shared" si="368"/>
        <v>2586622</v>
      </c>
      <c r="G669" s="805">
        <f t="shared" si="368"/>
        <v>3600000</v>
      </c>
      <c r="H669" s="805">
        <f t="shared" si="368"/>
        <v>3800000</v>
      </c>
      <c r="I669" s="805">
        <f t="shared" si="368"/>
        <v>3800000</v>
      </c>
      <c r="J669" s="805">
        <f t="shared" si="368"/>
        <v>3800000</v>
      </c>
      <c r="K669" s="1396">
        <v>0</v>
      </c>
      <c r="L669" s="1396">
        <v>0</v>
      </c>
      <c r="M669" s="3044">
        <f>+M670</f>
        <v>17586622</v>
      </c>
      <c r="N669" s="3095"/>
      <c r="O669" s="1313"/>
    </row>
    <row r="670" spans="1:15" s="1314" customFormat="1" ht="12">
      <c r="A670" s="3099"/>
      <c r="B670" s="783" t="s">
        <v>24</v>
      </c>
      <c r="C670" s="3119" t="s">
        <v>100</v>
      </c>
      <c r="D670" s="806">
        <f>+D671</f>
        <v>23944839</v>
      </c>
      <c r="E670" s="806">
        <f t="shared" si="368"/>
        <v>6358217</v>
      </c>
      <c r="F670" s="806">
        <f t="shared" si="368"/>
        <v>2586622</v>
      </c>
      <c r="G670" s="806">
        <f t="shared" si="368"/>
        <v>3600000</v>
      </c>
      <c r="H670" s="806">
        <f t="shared" si="368"/>
        <v>3800000</v>
      </c>
      <c r="I670" s="806">
        <f t="shared" si="368"/>
        <v>3800000</v>
      </c>
      <c r="J670" s="806">
        <f t="shared" si="368"/>
        <v>3800000</v>
      </c>
      <c r="K670" s="1394">
        <v>0</v>
      </c>
      <c r="L670" s="1394">
        <v>0</v>
      </c>
      <c r="M670" s="1058">
        <f>+M671</f>
        <v>17586622</v>
      </c>
      <c r="N670" s="3095"/>
    </row>
    <row r="671" spans="1:15" s="1314" customFormat="1" thickBot="1">
      <c r="A671" s="3100"/>
      <c r="B671" s="547" t="s">
        <v>12</v>
      </c>
      <c r="C671" s="3103"/>
      <c r="D671" s="280">
        <f>E671+F671+G671+H671+I671+J671+K671+L671</f>
        <v>23944839</v>
      </c>
      <c r="E671" s="321">
        <v>6358217</v>
      </c>
      <c r="F671" s="1395">
        <f>3000000+500000-913378</f>
        <v>2586622</v>
      </c>
      <c r="G671" s="1395">
        <f>3000000+500000+100000</f>
        <v>3600000</v>
      </c>
      <c r="H671" s="1395">
        <f>3000000+500000+300000</f>
        <v>3800000</v>
      </c>
      <c r="I671" s="1395">
        <f>3000000+500000+300000</f>
        <v>3800000</v>
      </c>
      <c r="J671" s="1395">
        <f>3000000+500000+300000</f>
        <v>3800000</v>
      </c>
      <c r="K671" s="1398">
        <v>0</v>
      </c>
      <c r="L671" s="1398">
        <v>0</v>
      </c>
      <c r="M671" s="1399">
        <f>SUM(F671:L671)</f>
        <v>17586622</v>
      </c>
      <c r="N671" s="3101"/>
    </row>
    <row r="672" spans="1:15" s="1314" customFormat="1" ht="17.25" customHeight="1">
      <c r="A672" s="3098" t="s">
        <v>88</v>
      </c>
      <c r="B672" s="317" t="s">
        <v>233</v>
      </c>
      <c r="C672" s="64" t="s">
        <v>111</v>
      </c>
      <c r="D672" s="144"/>
      <c r="E672" s="45"/>
      <c r="F672" s="45"/>
      <c r="G672" s="45"/>
      <c r="H672" s="45"/>
      <c r="I672" s="113"/>
      <c r="J672" s="608"/>
      <c r="K672" s="608"/>
      <c r="L672" s="608"/>
      <c r="M672" s="46"/>
      <c r="N672" s="3094" t="s">
        <v>104</v>
      </c>
    </row>
    <row r="673" spans="1:15" s="1314" customFormat="1" ht="12">
      <c r="A673" s="3099"/>
      <c r="B673" s="21" t="s">
        <v>10</v>
      </c>
      <c r="C673" s="22"/>
      <c r="D673" s="2250">
        <f>+D674</f>
        <v>673140462</v>
      </c>
      <c r="E673" s="2250">
        <f t="shared" ref="E673:I673" si="369">+E674</f>
        <v>319820454</v>
      </c>
      <c r="F673" s="2250">
        <f t="shared" si="369"/>
        <v>83820008</v>
      </c>
      <c r="G673" s="2250">
        <f t="shared" si="369"/>
        <v>88000000</v>
      </c>
      <c r="H673" s="2250">
        <f t="shared" si="369"/>
        <v>91500000</v>
      </c>
      <c r="I673" s="2250">
        <f t="shared" si="369"/>
        <v>90000000</v>
      </c>
      <c r="J673" s="609">
        <v>0</v>
      </c>
      <c r="K673" s="609">
        <v>0</v>
      </c>
      <c r="L673" s="609">
        <v>0</v>
      </c>
      <c r="M673" s="610">
        <f>+M674</f>
        <v>353320008</v>
      </c>
      <c r="N673" s="3095"/>
      <c r="O673" s="1313"/>
    </row>
    <row r="674" spans="1:15" s="1314" customFormat="1" ht="12">
      <c r="A674" s="3099"/>
      <c r="B674" s="189" t="s">
        <v>24</v>
      </c>
      <c r="C674" s="3108" t="s">
        <v>100</v>
      </c>
      <c r="D674" s="2251">
        <f>+D675+D676</f>
        <v>673140462</v>
      </c>
      <c r="E674" s="2251">
        <f t="shared" ref="E674" si="370">+E675+E676</f>
        <v>319820454</v>
      </c>
      <c r="F674" s="2251">
        <f t="shared" ref="F674:G674" si="371">+F675+F676</f>
        <v>83820008</v>
      </c>
      <c r="G674" s="2251">
        <f t="shared" si="371"/>
        <v>88000000</v>
      </c>
      <c r="H674" s="2251">
        <f>+H675+H676</f>
        <v>91500000</v>
      </c>
      <c r="I674" s="2251">
        <f>+I675+I676</f>
        <v>90000000</v>
      </c>
      <c r="J674" s="351">
        <v>0</v>
      </c>
      <c r="K674" s="351">
        <v>0</v>
      </c>
      <c r="L674" s="351">
        <v>0</v>
      </c>
      <c r="M674" s="352">
        <f>+M675+M676</f>
        <v>353320008</v>
      </c>
      <c r="N674" s="3095"/>
    </row>
    <row r="675" spans="1:15" s="1314" customFormat="1" ht="12">
      <c r="A675" s="3099"/>
      <c r="B675" s="548" t="s">
        <v>12</v>
      </c>
      <c r="C675" s="3105"/>
      <c r="D675" s="280">
        <f>E675+F675+G675+H675+I675+J675+K675+L675</f>
        <v>666626690</v>
      </c>
      <c r="E675" s="321">
        <v>315126690</v>
      </c>
      <c r="F675" s="2252">
        <f>79000000+2000000+1000000</f>
        <v>82000000</v>
      </c>
      <c r="G675" s="2252">
        <f>79000000+2000000+7000000</f>
        <v>88000000</v>
      </c>
      <c r="H675" s="2252">
        <f>79000000+2000000+10500000</f>
        <v>91500000</v>
      </c>
      <c r="I675" s="2252">
        <f>79000000+2000000+9000000</f>
        <v>90000000</v>
      </c>
      <c r="J675" s="611">
        <v>0</v>
      </c>
      <c r="K675" s="611">
        <v>0</v>
      </c>
      <c r="L675" s="611">
        <v>0</v>
      </c>
      <c r="M675" s="37">
        <f>SUM(F675:L675)</f>
        <v>351500000</v>
      </c>
      <c r="N675" s="3095"/>
    </row>
    <row r="676" spans="1:15" s="1314" customFormat="1" ht="12">
      <c r="A676" s="3099"/>
      <c r="B676" s="2240" t="s">
        <v>15</v>
      </c>
      <c r="C676" s="2986"/>
      <c r="D676" s="280">
        <f>E676+F676+G676+H676+I676+J676+K676+L676</f>
        <v>6513772</v>
      </c>
      <c r="E676" s="321">
        <v>4693764</v>
      </c>
      <c r="F676" s="2253">
        <f>1397794+422214</f>
        <v>1820008</v>
      </c>
      <c r="G676" s="2253">
        <v>0</v>
      </c>
      <c r="H676" s="2254">
        <v>0</v>
      </c>
      <c r="I676" s="2254">
        <v>0</v>
      </c>
      <c r="J676" s="612">
        <v>0</v>
      </c>
      <c r="K676" s="612">
        <v>0</v>
      </c>
      <c r="L676" s="612">
        <v>0</v>
      </c>
      <c r="M676" s="37">
        <f>SUM(F676:L676)</f>
        <v>1820008</v>
      </c>
      <c r="N676" s="3095"/>
    </row>
    <row r="677" spans="1:15" s="1314" customFormat="1" ht="12">
      <c r="A677" s="3099"/>
      <c r="B677" s="21" t="s">
        <v>22</v>
      </c>
      <c r="C677" s="22"/>
      <c r="D677" s="2250">
        <f>+D678</f>
        <v>105998423</v>
      </c>
      <c r="E677" s="2250">
        <f t="shared" ref="E677:I677" si="372">+E678</f>
        <v>27872715</v>
      </c>
      <c r="F677" s="2255">
        <f t="shared" si="372"/>
        <v>15394808</v>
      </c>
      <c r="G677" s="2255">
        <f t="shared" si="372"/>
        <v>19458300</v>
      </c>
      <c r="H677" s="2255">
        <f t="shared" si="372"/>
        <v>21636300</v>
      </c>
      <c r="I677" s="2255">
        <f t="shared" si="372"/>
        <v>21636300</v>
      </c>
      <c r="J677" s="613">
        <v>0</v>
      </c>
      <c r="K677" s="613">
        <v>0</v>
      </c>
      <c r="L677" s="613">
        <v>0</v>
      </c>
      <c r="M677" s="3116" t="s">
        <v>23</v>
      </c>
      <c r="N677" s="3095"/>
    </row>
    <row r="678" spans="1:15" s="1314" customFormat="1" ht="12">
      <c r="A678" s="3099"/>
      <c r="B678" s="189" t="s">
        <v>24</v>
      </c>
      <c r="C678" s="3108" t="s">
        <v>100</v>
      </c>
      <c r="D678" s="2251">
        <f>+D679+D680</f>
        <v>105998423</v>
      </c>
      <c r="E678" s="2251">
        <f t="shared" ref="E678" si="373">+E679+E680</f>
        <v>27872715</v>
      </c>
      <c r="F678" s="2251">
        <f t="shared" ref="F678:G678" si="374">+F679+F680</f>
        <v>15394808</v>
      </c>
      <c r="G678" s="2251">
        <f t="shared" si="374"/>
        <v>19458300</v>
      </c>
      <c r="H678" s="2251">
        <f>+H679+H680</f>
        <v>21636300</v>
      </c>
      <c r="I678" s="2251">
        <f>+I679+I680</f>
        <v>21636300</v>
      </c>
      <c r="J678" s="351">
        <v>0</v>
      </c>
      <c r="K678" s="351">
        <v>0</v>
      </c>
      <c r="L678" s="351">
        <v>0</v>
      </c>
      <c r="M678" s="3117"/>
      <c r="N678" s="3095"/>
    </row>
    <row r="679" spans="1:15" s="1314" customFormat="1" ht="12">
      <c r="A679" s="3099"/>
      <c r="B679" s="2256" t="s">
        <v>237</v>
      </c>
      <c r="C679" s="3097"/>
      <c r="D679" s="280">
        <f>E679+F679+G679+H679+I679+J679+K679+L679</f>
        <v>99484651</v>
      </c>
      <c r="E679" s="321">
        <v>23178951</v>
      </c>
      <c r="F679" s="353">
        <f>10500000+1500000+1574800</f>
        <v>13574800</v>
      </c>
      <c r="G679" s="353">
        <f>10500000+1500000+7458300</f>
        <v>19458300</v>
      </c>
      <c r="H679" s="353">
        <f>10500000+1500000+9636300</f>
        <v>21636300</v>
      </c>
      <c r="I679" s="353">
        <f>10500000+1500000+9636300</f>
        <v>21636300</v>
      </c>
      <c r="J679" s="614">
        <v>0</v>
      </c>
      <c r="K679" s="614">
        <v>0</v>
      </c>
      <c r="L679" s="614">
        <v>0</v>
      </c>
      <c r="M679" s="3117"/>
      <c r="N679" s="3095"/>
    </row>
    <row r="680" spans="1:15" s="1314" customFormat="1" ht="12" customHeight="1" thickBot="1">
      <c r="A680" s="3100"/>
      <c r="B680" s="543" t="s">
        <v>15</v>
      </c>
      <c r="C680" s="3103"/>
      <c r="D680" s="280">
        <f>E680+F680+G680+H680+I680+J680+K680+L680</f>
        <v>6513772</v>
      </c>
      <c r="E680" s="321">
        <v>4693764</v>
      </c>
      <c r="F680" s="85">
        <f>1397794+422214</f>
        <v>1820008</v>
      </c>
      <c r="G680" s="85">
        <v>0</v>
      </c>
      <c r="H680" s="335">
        <v>0</v>
      </c>
      <c r="I680" s="335">
        <v>0</v>
      </c>
      <c r="J680" s="335">
        <v>0</v>
      </c>
      <c r="K680" s="335">
        <v>0</v>
      </c>
      <c r="L680" s="335">
        <v>0</v>
      </c>
      <c r="M680" s="3118"/>
      <c r="N680" s="3101"/>
    </row>
    <row r="681" spans="1:15" s="1314" customFormat="1" ht="12" hidden="1">
      <c r="A681" s="3098"/>
      <c r="B681" s="317"/>
      <c r="C681" s="64" t="s">
        <v>111</v>
      </c>
      <c r="D681" s="144"/>
      <c r="E681" s="45"/>
      <c r="F681" s="45"/>
      <c r="G681" s="45"/>
      <c r="H681" s="45"/>
      <c r="I681" s="45"/>
      <c r="J681" s="45"/>
      <c r="K681" s="45"/>
      <c r="L681" s="45"/>
      <c r="M681" s="46"/>
      <c r="N681" s="3094" t="s">
        <v>104</v>
      </c>
    </row>
    <row r="682" spans="1:15" s="1314" customFormat="1" ht="12" hidden="1">
      <c r="A682" s="3099"/>
      <c r="B682" s="21" t="s">
        <v>10</v>
      </c>
      <c r="C682" s="22"/>
      <c r="D682" s="142">
        <f>+D683</f>
        <v>0</v>
      </c>
      <c r="E682" s="142">
        <v>0</v>
      </c>
      <c r="F682" s="142"/>
      <c r="G682" s="142"/>
      <c r="H682" s="142"/>
      <c r="I682" s="142"/>
      <c r="J682" s="341"/>
      <c r="K682" s="341"/>
      <c r="L682" s="341"/>
      <c r="M682" s="102"/>
      <c r="N682" s="3095"/>
      <c r="O682" s="1313"/>
    </row>
    <row r="683" spans="1:15" s="1314" customFormat="1" ht="12" hidden="1">
      <c r="A683" s="3099"/>
      <c r="B683" s="189" t="s">
        <v>24</v>
      </c>
      <c r="C683" s="549" t="s">
        <v>100</v>
      </c>
      <c r="D683" s="143">
        <f>+D684</f>
        <v>0</v>
      </c>
      <c r="E683" s="143">
        <v>0</v>
      </c>
      <c r="F683" s="143"/>
      <c r="G683" s="143"/>
      <c r="H683" s="143"/>
      <c r="I683" s="143"/>
      <c r="J683" s="340"/>
      <c r="K683" s="340"/>
      <c r="L683" s="340"/>
      <c r="M683" s="74"/>
      <c r="N683" s="3095"/>
    </row>
    <row r="684" spans="1:15" s="1314" customFormat="1" hidden="1" thickBot="1">
      <c r="A684" s="3099"/>
      <c r="B684" s="544" t="s">
        <v>12</v>
      </c>
      <c r="C684" s="550"/>
      <c r="D684" s="58">
        <f>SUM(E684:I684)</f>
        <v>0</v>
      </c>
      <c r="E684" s="230">
        <v>0</v>
      </c>
      <c r="F684" s="97"/>
      <c r="G684" s="97"/>
      <c r="H684" s="97"/>
      <c r="I684" s="97"/>
      <c r="J684" s="274"/>
      <c r="K684" s="274"/>
      <c r="L684" s="274"/>
      <c r="M684" s="76"/>
      <c r="N684" s="3095"/>
    </row>
    <row r="685" spans="1:15" s="1314" customFormat="1" ht="14.25" hidden="1" customHeight="1">
      <c r="A685" s="3098" t="s">
        <v>89</v>
      </c>
      <c r="B685" s="317"/>
      <c r="C685" s="64" t="s">
        <v>111</v>
      </c>
      <c r="D685" s="43"/>
      <c r="E685" s="45"/>
      <c r="F685" s="45"/>
      <c r="G685" s="45"/>
      <c r="H685" s="45"/>
      <c r="I685" s="45"/>
      <c r="J685" s="45"/>
      <c r="K685" s="45"/>
      <c r="L685" s="45"/>
      <c r="M685" s="46"/>
      <c r="N685" s="3094" t="s">
        <v>87</v>
      </c>
    </row>
    <row r="686" spans="1:15" s="1314" customFormat="1" ht="12" hidden="1">
      <c r="A686" s="3099"/>
      <c r="B686" s="21" t="s">
        <v>10</v>
      </c>
      <c r="C686" s="22"/>
      <c r="D686" s="142"/>
      <c r="E686" s="142"/>
      <c r="F686" s="142"/>
      <c r="G686" s="142"/>
      <c r="H686" s="142"/>
      <c r="I686" s="330"/>
      <c r="J686" s="330"/>
      <c r="K686" s="330"/>
      <c r="L686" s="330"/>
      <c r="M686" s="71">
        <f>+M687</f>
        <v>0</v>
      </c>
      <c r="N686" s="3095"/>
      <c r="O686" s="1313"/>
    </row>
    <row r="687" spans="1:15" s="1314" customFormat="1" ht="12" hidden="1">
      <c r="A687" s="3099"/>
      <c r="B687" s="189" t="s">
        <v>24</v>
      </c>
      <c r="C687" s="3102" t="s">
        <v>84</v>
      </c>
      <c r="D687" s="143"/>
      <c r="E687" s="143"/>
      <c r="F687" s="143"/>
      <c r="G687" s="143"/>
      <c r="H687" s="143"/>
      <c r="I687" s="331"/>
      <c r="J687" s="331"/>
      <c r="K687" s="331"/>
      <c r="L687" s="331"/>
      <c r="M687" s="88">
        <f>+M688+M689</f>
        <v>0</v>
      </c>
      <c r="N687" s="3095"/>
    </row>
    <row r="688" spans="1:15" s="1314" customFormat="1" ht="12" hidden="1">
      <c r="A688" s="3099"/>
      <c r="B688" s="548" t="s">
        <v>12</v>
      </c>
      <c r="C688" s="3097"/>
      <c r="D688" s="1331"/>
      <c r="E688" s="1331"/>
      <c r="F688" s="77"/>
      <c r="G688" s="77"/>
      <c r="H688" s="77"/>
      <c r="I688" s="332"/>
      <c r="J688" s="332"/>
      <c r="K688" s="332"/>
      <c r="L688" s="332"/>
      <c r="M688" s="37">
        <f>SUM(F688:L688)</f>
        <v>0</v>
      </c>
      <c r="N688" s="3095"/>
    </row>
    <row r="689" spans="1:15" s="1314" customFormat="1" ht="12" hidden="1">
      <c r="A689" s="3099"/>
      <c r="B689" s="150" t="s">
        <v>109</v>
      </c>
      <c r="C689" s="3105"/>
      <c r="D689" s="1331"/>
      <c r="E689" s="1331"/>
      <c r="F689" s="333"/>
      <c r="G689" s="333"/>
      <c r="H689" s="333"/>
      <c r="I689" s="333"/>
      <c r="J689" s="320"/>
      <c r="K689" s="320"/>
      <c r="L689" s="320"/>
      <c r="M689" s="37">
        <f>SUM(F689:L689)</f>
        <v>0</v>
      </c>
      <c r="N689" s="3095"/>
    </row>
    <row r="690" spans="1:15" s="1314" customFormat="1" ht="12" hidden="1">
      <c r="A690" s="3099"/>
      <c r="B690" s="89" t="s">
        <v>22</v>
      </c>
      <c r="C690" s="22"/>
      <c r="D690" s="142"/>
      <c r="E690" s="142"/>
      <c r="F690" s="330"/>
      <c r="G690" s="330"/>
      <c r="H690" s="330"/>
      <c r="I690" s="330"/>
      <c r="J690" s="330"/>
      <c r="K690" s="330"/>
      <c r="L690" s="330"/>
      <c r="M690" s="3104" t="s">
        <v>23</v>
      </c>
      <c r="N690" s="3095"/>
    </row>
    <row r="691" spans="1:15" s="1314" customFormat="1" ht="12" hidden="1">
      <c r="A691" s="3099"/>
      <c r="B691" s="189" t="s">
        <v>24</v>
      </c>
      <c r="C691" s="3102" t="s">
        <v>84</v>
      </c>
      <c r="D691" s="54"/>
      <c r="E691" s="54"/>
      <c r="F691" s="324"/>
      <c r="G691" s="324"/>
      <c r="H691" s="334"/>
      <c r="I691" s="324"/>
      <c r="J691" s="324"/>
      <c r="K691" s="324"/>
      <c r="L691" s="324"/>
      <c r="M691" s="3089"/>
      <c r="N691" s="3095"/>
    </row>
    <row r="692" spans="1:15" s="1314" customFormat="1" hidden="1" thickBot="1">
      <c r="A692" s="3100"/>
      <c r="B692" s="338" t="s">
        <v>13</v>
      </c>
      <c r="C692" s="3103"/>
      <c r="D692" s="1331"/>
      <c r="E692" s="1331"/>
      <c r="F692" s="335"/>
      <c r="G692" s="335"/>
      <c r="H692" s="336"/>
      <c r="I692" s="335"/>
      <c r="J692" s="335"/>
      <c r="K692" s="335"/>
      <c r="L692" s="335"/>
      <c r="M692" s="3090"/>
      <c r="N692" s="3101"/>
    </row>
    <row r="693" spans="1:15" s="1314" customFormat="1" ht="24.75" hidden="1" customHeight="1">
      <c r="A693" s="3098" t="s">
        <v>92</v>
      </c>
      <c r="B693" s="317"/>
      <c r="C693" s="64"/>
      <c r="D693" s="43"/>
      <c r="E693" s="43"/>
      <c r="F693" s="43"/>
      <c r="G693" s="43"/>
      <c r="H693" s="45"/>
      <c r="I693" s="45"/>
      <c r="J693" s="45"/>
      <c r="K693" s="45"/>
      <c r="L693" s="45"/>
      <c r="M693" s="46"/>
      <c r="N693" s="3094" t="s">
        <v>87</v>
      </c>
    </row>
    <row r="694" spans="1:15" s="1314" customFormat="1" ht="12" hidden="1">
      <c r="A694" s="3099"/>
      <c r="B694" s="21" t="s">
        <v>10</v>
      </c>
      <c r="C694" s="22"/>
      <c r="D694" s="142"/>
      <c r="E694" s="142"/>
      <c r="F694" s="142"/>
      <c r="G694" s="142"/>
      <c r="H694" s="142"/>
      <c r="I694" s="330"/>
      <c r="J694" s="330"/>
      <c r="K694" s="330"/>
      <c r="L694" s="330"/>
      <c r="M694" s="71">
        <f>+M695</f>
        <v>0</v>
      </c>
      <c r="N694" s="3095"/>
      <c r="O694" s="1313"/>
    </row>
    <row r="695" spans="1:15" s="1314" customFormat="1" ht="12" hidden="1">
      <c r="A695" s="3099"/>
      <c r="B695" s="189" t="s">
        <v>24</v>
      </c>
      <c r="C695" s="3102" t="s">
        <v>84</v>
      </c>
      <c r="D695" s="143"/>
      <c r="E695" s="143"/>
      <c r="F695" s="143"/>
      <c r="G695" s="143"/>
      <c r="H695" s="143"/>
      <c r="I695" s="333"/>
      <c r="J695" s="320"/>
      <c r="K695" s="320"/>
      <c r="L695" s="320"/>
      <c r="M695" s="88">
        <f>+M696+M697</f>
        <v>0</v>
      </c>
      <c r="N695" s="3095"/>
    </row>
    <row r="696" spans="1:15" s="1314" customFormat="1" ht="12" hidden="1">
      <c r="A696" s="3099"/>
      <c r="B696" s="548" t="s">
        <v>12</v>
      </c>
      <c r="C696" s="3097"/>
      <c r="D696" s="1331"/>
      <c r="E696" s="1331"/>
      <c r="F696" s="83"/>
      <c r="G696" s="83"/>
      <c r="H696" s="83"/>
      <c r="I696" s="333"/>
      <c r="J696" s="320"/>
      <c r="K696" s="320"/>
      <c r="L696" s="320"/>
      <c r="M696" s="37">
        <f>SUM(F696:L696)</f>
        <v>0</v>
      </c>
      <c r="N696" s="3095"/>
    </row>
    <row r="697" spans="1:15" s="1314" customFormat="1" ht="12" hidden="1">
      <c r="A697" s="3099"/>
      <c r="B697" s="150" t="s">
        <v>78</v>
      </c>
      <c r="C697" s="3105"/>
      <c r="D697" s="1331"/>
      <c r="E697" s="1331"/>
      <c r="F697" s="83"/>
      <c r="G697" s="83"/>
      <c r="H697" s="333"/>
      <c r="I697" s="333"/>
      <c r="J697" s="320"/>
      <c r="K697" s="320"/>
      <c r="L697" s="320"/>
      <c r="M697" s="37">
        <f>SUM(F697:L697)</f>
        <v>0</v>
      </c>
      <c r="N697" s="3095"/>
    </row>
    <row r="698" spans="1:15" s="1314" customFormat="1" ht="12" hidden="1">
      <c r="A698" s="3099"/>
      <c r="B698" s="89" t="s">
        <v>22</v>
      </c>
      <c r="C698" s="22"/>
      <c r="D698" s="142"/>
      <c r="E698" s="142"/>
      <c r="F698" s="330"/>
      <c r="G698" s="330"/>
      <c r="H698" s="330"/>
      <c r="I698" s="330"/>
      <c r="J698" s="330"/>
      <c r="K698" s="330"/>
      <c r="L698" s="330"/>
      <c r="M698" s="3104" t="s">
        <v>23</v>
      </c>
      <c r="N698" s="3095"/>
    </row>
    <row r="699" spans="1:15" s="1314" customFormat="1" ht="12" hidden="1">
      <c r="A699" s="3099"/>
      <c r="B699" s="189" t="s">
        <v>24</v>
      </c>
      <c r="C699" s="3102" t="s">
        <v>84</v>
      </c>
      <c r="D699" s="513"/>
      <c r="E699" s="513"/>
      <c r="F699" s="334"/>
      <c r="G699" s="334"/>
      <c r="H699" s="334"/>
      <c r="I699" s="324"/>
      <c r="J699" s="324"/>
      <c r="K699" s="324"/>
      <c r="L699" s="324"/>
      <c r="M699" s="3089"/>
      <c r="N699" s="3095"/>
    </row>
    <row r="700" spans="1:15" s="1314" customFormat="1" hidden="1" thickBot="1">
      <c r="A700" s="3100"/>
      <c r="B700" s="150" t="s">
        <v>13</v>
      </c>
      <c r="C700" s="3103"/>
      <c r="D700" s="1331"/>
      <c r="E700" s="1331"/>
      <c r="F700" s="336"/>
      <c r="G700" s="336"/>
      <c r="H700" s="336"/>
      <c r="I700" s="335"/>
      <c r="J700" s="335"/>
      <c r="K700" s="335"/>
      <c r="L700" s="335"/>
      <c r="M700" s="3090"/>
      <c r="N700" s="3101"/>
    </row>
    <row r="701" spans="1:15" s="1314" customFormat="1" ht="14.25" hidden="1" customHeight="1">
      <c r="A701" s="3098" t="s">
        <v>93</v>
      </c>
      <c r="B701" s="317"/>
      <c r="C701" s="64"/>
      <c r="D701" s="144"/>
      <c r="E701" s="45"/>
      <c r="F701" s="45"/>
      <c r="G701" s="45"/>
      <c r="H701" s="45"/>
      <c r="I701" s="45"/>
      <c r="J701" s="45"/>
      <c r="K701" s="45"/>
      <c r="L701" s="45"/>
      <c r="M701" s="46"/>
      <c r="N701" s="3094" t="s">
        <v>87</v>
      </c>
    </row>
    <row r="702" spans="1:15" s="1314" customFormat="1" ht="12" hidden="1">
      <c r="A702" s="3099"/>
      <c r="B702" s="21" t="s">
        <v>10</v>
      </c>
      <c r="C702" s="22"/>
      <c r="D702" s="142"/>
      <c r="E702" s="142"/>
      <c r="F702" s="142"/>
      <c r="G702" s="142"/>
      <c r="H702" s="330"/>
      <c r="I702" s="330"/>
      <c r="J702" s="330"/>
      <c r="K702" s="330"/>
      <c r="L702" s="330"/>
      <c r="M702" s="71">
        <f>+M703</f>
        <v>0</v>
      </c>
      <c r="N702" s="3095"/>
      <c r="O702" s="1313"/>
    </row>
    <row r="703" spans="1:15" s="1314" customFormat="1" ht="12" hidden="1">
      <c r="A703" s="3099"/>
      <c r="B703" s="189" t="s">
        <v>24</v>
      </c>
      <c r="C703" s="3102" t="s">
        <v>84</v>
      </c>
      <c r="D703" s="143"/>
      <c r="E703" s="143"/>
      <c r="F703" s="143"/>
      <c r="G703" s="143"/>
      <c r="H703" s="331"/>
      <c r="I703" s="331"/>
      <c r="J703" s="331"/>
      <c r="K703" s="331"/>
      <c r="L703" s="331"/>
      <c r="M703" s="88">
        <f>+M704</f>
        <v>0</v>
      </c>
      <c r="N703" s="3095"/>
    </row>
    <row r="704" spans="1:15" s="1314" customFormat="1" hidden="1" thickBot="1">
      <c r="A704" s="3100"/>
      <c r="B704" s="547" t="s">
        <v>12</v>
      </c>
      <c r="C704" s="3103"/>
      <c r="D704" s="1331"/>
      <c r="E704" s="1331"/>
      <c r="F704" s="267"/>
      <c r="G704" s="267"/>
      <c r="H704" s="350"/>
      <c r="I704" s="350"/>
      <c r="J704" s="332"/>
      <c r="K704" s="332"/>
      <c r="L704" s="332"/>
      <c r="M704" s="37">
        <f>SUM(F704:L704)</f>
        <v>0</v>
      </c>
      <c r="N704" s="3101"/>
    </row>
    <row r="705" spans="1:15" s="1314" customFormat="1" ht="14.25" hidden="1" customHeight="1">
      <c r="A705" s="3098" t="s">
        <v>94</v>
      </c>
      <c r="B705" s="317"/>
      <c r="C705" s="64"/>
      <c r="D705" s="144"/>
      <c r="E705" s="45"/>
      <c r="F705" s="45"/>
      <c r="G705" s="45"/>
      <c r="H705" s="45"/>
      <c r="I705" s="45"/>
      <c r="J705" s="45"/>
      <c r="K705" s="45"/>
      <c r="L705" s="45"/>
      <c r="M705" s="46"/>
      <c r="N705" s="3094" t="s">
        <v>87</v>
      </c>
    </row>
    <row r="706" spans="1:15" s="1314" customFormat="1" ht="12" hidden="1">
      <c r="A706" s="3099"/>
      <c r="B706" s="21" t="s">
        <v>10</v>
      </c>
      <c r="C706" s="22"/>
      <c r="D706" s="142"/>
      <c r="E706" s="330"/>
      <c r="F706" s="142"/>
      <c r="G706" s="142"/>
      <c r="H706" s="142"/>
      <c r="I706" s="330"/>
      <c r="J706" s="330"/>
      <c r="K706" s="330"/>
      <c r="L706" s="330"/>
      <c r="M706" s="71">
        <f>+M707</f>
        <v>0</v>
      </c>
      <c r="N706" s="3095"/>
      <c r="O706" s="1313"/>
    </row>
    <row r="707" spans="1:15" s="1314" customFormat="1" ht="12" hidden="1">
      <c r="A707" s="3099"/>
      <c r="B707" s="189" t="s">
        <v>24</v>
      </c>
      <c r="C707" s="3102" t="s">
        <v>84</v>
      </c>
      <c r="D707" s="143"/>
      <c r="E707" s="331"/>
      <c r="F707" s="143"/>
      <c r="G707" s="143"/>
      <c r="H707" s="143"/>
      <c r="I707" s="331"/>
      <c r="J707" s="331"/>
      <c r="K707" s="331"/>
      <c r="L707" s="331"/>
      <c r="M707" s="88">
        <f>+M708</f>
        <v>0</v>
      </c>
      <c r="N707" s="3095"/>
    </row>
    <row r="708" spans="1:15" s="1314" customFormat="1" hidden="1" thickBot="1">
      <c r="A708" s="3100"/>
      <c r="B708" s="547" t="s">
        <v>12</v>
      </c>
      <c r="C708" s="3103"/>
      <c r="D708" s="1331"/>
      <c r="E708" s="841"/>
      <c r="F708" s="267"/>
      <c r="G708" s="267"/>
      <c r="H708" s="267"/>
      <c r="I708" s="350"/>
      <c r="J708" s="332"/>
      <c r="K708" s="332"/>
      <c r="L708" s="332"/>
      <c r="M708" s="37">
        <f>SUM(F708:L708)</f>
        <v>0</v>
      </c>
      <c r="N708" s="3101"/>
    </row>
    <row r="709" spans="1:15" s="1314" customFormat="1" ht="24.75" customHeight="1">
      <c r="A709" s="3098" t="s">
        <v>89</v>
      </c>
      <c r="B709" s="317" t="s">
        <v>565</v>
      </c>
      <c r="C709" s="64" t="s">
        <v>111</v>
      </c>
      <c r="D709" s="144"/>
      <c r="E709" s="45"/>
      <c r="F709" s="45"/>
      <c r="G709" s="45"/>
      <c r="H709" s="45"/>
      <c r="I709" s="45"/>
      <c r="J709" s="45"/>
      <c r="K709" s="45"/>
      <c r="L709" s="45"/>
      <c r="M709" s="46"/>
      <c r="N709" s="3094" t="s">
        <v>104</v>
      </c>
    </row>
    <row r="710" spans="1:15" s="1314" customFormat="1" ht="12">
      <c r="A710" s="3099"/>
      <c r="B710" s="21" t="s">
        <v>10</v>
      </c>
      <c r="C710" s="22"/>
      <c r="D710" s="142">
        <f>+D711</f>
        <v>777055</v>
      </c>
      <c r="E710" s="142">
        <f t="shared" ref="E710:J711" si="375">+E711</f>
        <v>116055</v>
      </c>
      <c r="F710" s="142">
        <f t="shared" si="375"/>
        <v>91000</v>
      </c>
      <c r="G710" s="142">
        <f t="shared" si="375"/>
        <v>135000</v>
      </c>
      <c r="H710" s="142">
        <f t="shared" si="375"/>
        <v>145000</v>
      </c>
      <c r="I710" s="142">
        <f t="shared" si="375"/>
        <v>145000</v>
      </c>
      <c r="J710" s="142">
        <f t="shared" si="375"/>
        <v>145000</v>
      </c>
      <c r="K710" s="330">
        <v>0</v>
      </c>
      <c r="L710" s="330">
        <v>0</v>
      </c>
      <c r="M710" s="71">
        <f>+M711</f>
        <v>661000</v>
      </c>
      <c r="N710" s="3095"/>
      <c r="O710" s="1313"/>
    </row>
    <row r="711" spans="1:15" s="1314" customFormat="1" ht="12">
      <c r="A711" s="3099"/>
      <c r="B711" s="189" t="s">
        <v>24</v>
      </c>
      <c r="C711" s="3102" t="s">
        <v>100</v>
      </c>
      <c r="D711" s="143">
        <f>+D712</f>
        <v>777055</v>
      </c>
      <c r="E711" s="143">
        <f t="shared" si="375"/>
        <v>116055</v>
      </c>
      <c r="F711" s="143">
        <f t="shared" si="375"/>
        <v>91000</v>
      </c>
      <c r="G711" s="143">
        <f t="shared" si="375"/>
        <v>135000</v>
      </c>
      <c r="H711" s="143">
        <f t="shared" si="375"/>
        <v>145000</v>
      </c>
      <c r="I711" s="143">
        <f t="shared" si="375"/>
        <v>145000</v>
      </c>
      <c r="J711" s="143">
        <f>145000</f>
        <v>145000</v>
      </c>
      <c r="K711" s="331">
        <v>0</v>
      </c>
      <c r="L711" s="331">
        <v>0</v>
      </c>
      <c r="M711" s="88">
        <f>+M712</f>
        <v>661000</v>
      </c>
      <c r="N711" s="3095"/>
    </row>
    <row r="712" spans="1:15" s="1314" customFormat="1" thickBot="1">
      <c r="A712" s="3100"/>
      <c r="B712" s="543" t="s">
        <v>12</v>
      </c>
      <c r="C712" s="3103"/>
      <c r="D712" s="280">
        <f>E712+F712+G712+H712+I712+J712+K712+L712</f>
        <v>777055</v>
      </c>
      <c r="E712" s="321">
        <v>116055</v>
      </c>
      <c r="F712" s="267">
        <f>135000-44000</f>
        <v>91000</v>
      </c>
      <c r="G712" s="267">
        <f>135000</f>
        <v>135000</v>
      </c>
      <c r="H712" s="267">
        <f>135000+10000</f>
        <v>145000</v>
      </c>
      <c r="I712" s="267">
        <f>135000+10000</f>
        <v>145000</v>
      </c>
      <c r="J712" s="267">
        <f>145000</f>
        <v>145000</v>
      </c>
      <c r="K712" s="350">
        <v>0</v>
      </c>
      <c r="L712" s="350">
        <v>0</v>
      </c>
      <c r="M712" s="37">
        <f>SUM(F712:L712)</f>
        <v>661000</v>
      </c>
      <c r="N712" s="3101"/>
    </row>
    <row r="713" spans="1:15" s="1314" customFormat="1" ht="27" customHeight="1">
      <c r="A713" s="3098" t="s">
        <v>90</v>
      </c>
      <c r="B713" s="317" t="s">
        <v>566</v>
      </c>
      <c r="C713" s="64" t="s">
        <v>81</v>
      </c>
      <c r="D713" s="144"/>
      <c r="E713" s="45"/>
      <c r="F713" s="45"/>
      <c r="G713" s="45"/>
      <c r="H713" s="45"/>
      <c r="I713" s="45"/>
      <c r="J713" s="45"/>
      <c r="K713" s="45"/>
      <c r="L713" s="45"/>
      <c r="M713" s="46"/>
      <c r="N713" s="3094" t="s">
        <v>87</v>
      </c>
    </row>
    <row r="714" spans="1:15" s="1314" customFormat="1" ht="12">
      <c r="A714" s="3099"/>
      <c r="B714" s="826" t="s">
        <v>10</v>
      </c>
      <c r="C714" s="1105"/>
      <c r="D714" s="805">
        <f>+D715</f>
        <v>6355000</v>
      </c>
      <c r="E714" s="805">
        <v>3810194</v>
      </c>
      <c r="F714" s="805">
        <f t="shared" ref="F714:G715" si="376">+F715</f>
        <v>2021758</v>
      </c>
      <c r="G714" s="805">
        <f t="shared" si="376"/>
        <v>523048</v>
      </c>
      <c r="H714" s="1396">
        <v>0</v>
      </c>
      <c r="I714" s="1396">
        <v>0</v>
      </c>
      <c r="J714" s="1396">
        <v>0</v>
      </c>
      <c r="K714" s="1396">
        <v>0</v>
      </c>
      <c r="L714" s="1396">
        <v>0</v>
      </c>
      <c r="M714" s="2027">
        <f>+M715</f>
        <v>2544806</v>
      </c>
      <c r="N714" s="3095"/>
      <c r="O714" s="1313"/>
    </row>
    <row r="715" spans="1:15" s="1314" customFormat="1" ht="12">
      <c r="A715" s="3099"/>
      <c r="B715" s="783" t="s">
        <v>24</v>
      </c>
      <c r="C715" s="3119" t="s">
        <v>84</v>
      </c>
      <c r="D715" s="806">
        <f>+D716</f>
        <v>6355000</v>
      </c>
      <c r="E715" s="806">
        <v>3810194</v>
      </c>
      <c r="F715" s="806">
        <f t="shared" si="376"/>
        <v>2021758</v>
      </c>
      <c r="G715" s="806">
        <f t="shared" si="376"/>
        <v>523048</v>
      </c>
      <c r="H715" s="1394">
        <v>0</v>
      </c>
      <c r="I715" s="1394">
        <v>0</v>
      </c>
      <c r="J715" s="1394">
        <v>0</v>
      </c>
      <c r="K715" s="1394">
        <v>0</v>
      </c>
      <c r="L715" s="1394">
        <v>0</v>
      </c>
      <c r="M715" s="804">
        <f>+M716</f>
        <v>2544806</v>
      </c>
      <c r="N715" s="3095"/>
    </row>
    <row r="716" spans="1:15" s="1314" customFormat="1" thickBot="1">
      <c r="A716" s="3100"/>
      <c r="B716" s="547" t="s">
        <v>12</v>
      </c>
      <c r="C716" s="3103"/>
      <c r="D716" s="280">
        <f>E716+F716+G716+H716+I716+J716+K716+L716</f>
        <v>6355000</v>
      </c>
      <c r="E716" s="321">
        <v>3810194</v>
      </c>
      <c r="F716" s="1395">
        <f>1965000+93736+486070-523048</f>
        <v>2021758</v>
      </c>
      <c r="G716" s="1395">
        <v>523048</v>
      </c>
      <c r="H716" s="1398">
        <v>0</v>
      </c>
      <c r="I716" s="1398">
        <v>0</v>
      </c>
      <c r="J716" s="1398">
        <v>0</v>
      </c>
      <c r="K716" s="1398">
        <v>0</v>
      </c>
      <c r="L716" s="1398">
        <v>0</v>
      </c>
      <c r="M716" s="1399">
        <f>SUM(F716:L716)</f>
        <v>2544806</v>
      </c>
      <c r="N716" s="3101"/>
    </row>
    <row r="717" spans="1:15" s="1314" customFormat="1" ht="16.5" customHeight="1">
      <c r="A717" s="3098" t="s">
        <v>91</v>
      </c>
      <c r="B717" s="317" t="s">
        <v>378</v>
      </c>
      <c r="C717" s="64" t="s">
        <v>111</v>
      </c>
      <c r="D717" s="144"/>
      <c r="E717" s="608"/>
      <c r="F717" s="45"/>
      <c r="G717" s="45"/>
      <c r="H717" s="45"/>
      <c r="I717" s="45"/>
      <c r="J717" s="45"/>
      <c r="K717" s="45"/>
      <c r="L717" s="45"/>
      <c r="M717" s="46"/>
      <c r="N717" s="3094" t="s">
        <v>87</v>
      </c>
    </row>
    <row r="718" spans="1:15" s="1314" customFormat="1" ht="12.75" customHeight="1">
      <c r="A718" s="3099"/>
      <c r="B718" s="21" t="s">
        <v>10</v>
      </c>
      <c r="C718" s="22"/>
      <c r="D718" s="536">
        <f>+D719</f>
        <v>107265718</v>
      </c>
      <c r="E718" s="536">
        <f t="shared" ref="E718:I718" si="377">+E719</f>
        <v>0</v>
      </c>
      <c r="F718" s="536">
        <f t="shared" si="377"/>
        <v>27229019</v>
      </c>
      <c r="G718" s="536">
        <f t="shared" si="377"/>
        <v>26856601</v>
      </c>
      <c r="H718" s="536">
        <f t="shared" si="377"/>
        <v>26265000</v>
      </c>
      <c r="I718" s="536">
        <f t="shared" si="377"/>
        <v>26915098</v>
      </c>
      <c r="J718" s="537">
        <v>0</v>
      </c>
      <c r="K718" s="537">
        <v>0</v>
      </c>
      <c r="L718" s="537">
        <v>0</v>
      </c>
      <c r="M718" s="553">
        <f>+M719</f>
        <v>107265718</v>
      </c>
      <c r="N718" s="3095"/>
      <c r="O718" s="1313"/>
    </row>
    <row r="719" spans="1:15" s="1314" customFormat="1" ht="12.75" customHeight="1">
      <c r="A719" s="3099"/>
      <c r="B719" s="783" t="s">
        <v>24</v>
      </c>
      <c r="C719" s="3109" t="s">
        <v>524</v>
      </c>
      <c r="D719" s="806">
        <f>+D720+D721</f>
        <v>107265718</v>
      </c>
      <c r="E719" s="806">
        <f t="shared" ref="E719" si="378">+E720+E721</f>
        <v>0</v>
      </c>
      <c r="F719" s="806">
        <f t="shared" ref="F719:L719" si="379">+F720+F721</f>
        <v>27229019</v>
      </c>
      <c r="G719" s="806">
        <f t="shared" si="379"/>
        <v>26856601</v>
      </c>
      <c r="H719" s="806">
        <f t="shared" si="379"/>
        <v>26265000</v>
      </c>
      <c r="I719" s="806">
        <f t="shared" si="379"/>
        <v>26915098</v>
      </c>
      <c r="J719" s="1394">
        <f t="shared" si="379"/>
        <v>0</v>
      </c>
      <c r="K719" s="1394">
        <f t="shared" si="379"/>
        <v>0</v>
      </c>
      <c r="L719" s="1394">
        <f t="shared" si="379"/>
        <v>0</v>
      </c>
      <c r="M719" s="804">
        <f>+M720+M721</f>
        <v>107265718</v>
      </c>
      <c r="N719" s="3095"/>
    </row>
    <row r="720" spans="1:15" s="1314" customFormat="1" ht="14.25" customHeight="1">
      <c r="A720" s="3099"/>
      <c r="B720" s="2249" t="s">
        <v>12</v>
      </c>
      <c r="C720" s="3097"/>
      <c r="D720" s="280">
        <f>E720+F720+G720+H720+I720+J720+K720+L720</f>
        <v>83839727</v>
      </c>
      <c r="E720" s="321">
        <v>0</v>
      </c>
      <c r="F720" s="807">
        <f>24142831+86188+3000000-23425991</f>
        <v>3803028</v>
      </c>
      <c r="G720" s="807">
        <v>26856601</v>
      </c>
      <c r="H720" s="807">
        <v>26265000</v>
      </c>
      <c r="I720" s="807">
        <v>26915098</v>
      </c>
      <c r="J720" s="1411">
        <v>0</v>
      </c>
      <c r="K720" s="1411">
        <v>0</v>
      </c>
      <c r="L720" s="1411">
        <v>0</v>
      </c>
      <c r="M720" s="1381">
        <f>SUM(F720:L720)</f>
        <v>83839727</v>
      </c>
      <c r="N720" s="3095"/>
    </row>
    <row r="721" spans="1:15" s="1314" customFormat="1" ht="14.25" customHeight="1">
      <c r="A721" s="3099"/>
      <c r="B721" s="2249" t="s">
        <v>78</v>
      </c>
      <c r="C721" s="3105"/>
      <c r="D721" s="280">
        <f>E721+F721+G721+H721+I721+J721+K721+L721</f>
        <v>23425991</v>
      </c>
      <c r="E721" s="321">
        <v>0</v>
      </c>
      <c r="F721" s="807">
        <f>23425991</f>
        <v>23425991</v>
      </c>
      <c r="G721" s="1411">
        <v>0</v>
      </c>
      <c r="H721" s="1411">
        <v>0</v>
      </c>
      <c r="I721" s="1411">
        <v>0</v>
      </c>
      <c r="J721" s="1411">
        <v>0</v>
      </c>
      <c r="K721" s="1411">
        <v>0</v>
      </c>
      <c r="L721" s="1411"/>
      <c r="M721" s="1381">
        <f>SUM(F721:L721)</f>
        <v>23425991</v>
      </c>
      <c r="N721" s="3110"/>
    </row>
    <row r="722" spans="1:15" s="1314" customFormat="1" ht="14.25" customHeight="1">
      <c r="A722" s="3099"/>
      <c r="B722" s="91" t="s">
        <v>22</v>
      </c>
      <c r="C722" s="101"/>
      <c r="D722" s="2257">
        <f>+D723</f>
        <v>23425991</v>
      </c>
      <c r="E722" s="2257">
        <f t="shared" ref="E722:E723" si="380">+E723</f>
        <v>0</v>
      </c>
      <c r="F722" s="2257">
        <f t="shared" ref="F722:F723" si="381">+F723</f>
        <v>23425991</v>
      </c>
      <c r="G722" s="2187">
        <f t="shared" ref="G722:G723" si="382">+G723</f>
        <v>0</v>
      </c>
      <c r="H722" s="2187">
        <f t="shared" ref="H722:H723" si="383">+H723</f>
        <v>0</v>
      </c>
      <c r="I722" s="2187">
        <f t="shared" ref="I722:I723" si="384">+I723</f>
        <v>0</v>
      </c>
      <c r="J722" s="2187">
        <f t="shared" ref="J722:J723" si="385">+J723</f>
        <v>0</v>
      </c>
      <c r="K722" s="2187">
        <f t="shared" ref="K722:K723" si="386">+K723</f>
        <v>0</v>
      </c>
      <c r="L722" s="2187">
        <f t="shared" ref="L722:L723" si="387">+L723</f>
        <v>0</v>
      </c>
      <c r="M722" s="3112" t="s">
        <v>23</v>
      </c>
      <c r="N722" s="3111" t="s">
        <v>104</v>
      </c>
    </row>
    <row r="723" spans="1:15" s="1314" customFormat="1" ht="14.25" customHeight="1">
      <c r="A723" s="3099"/>
      <c r="B723" s="189" t="s">
        <v>24</v>
      </c>
      <c r="C723" s="3091" t="s">
        <v>84</v>
      </c>
      <c r="D723" s="143">
        <f>+D724</f>
        <v>23425991</v>
      </c>
      <c r="E723" s="143">
        <f t="shared" si="380"/>
        <v>0</v>
      </c>
      <c r="F723" s="143">
        <f t="shared" si="381"/>
        <v>23425991</v>
      </c>
      <c r="G723" s="331">
        <f t="shared" si="382"/>
        <v>0</v>
      </c>
      <c r="H723" s="331">
        <f t="shared" si="383"/>
        <v>0</v>
      </c>
      <c r="I723" s="331">
        <f t="shared" si="384"/>
        <v>0</v>
      </c>
      <c r="J723" s="331">
        <f t="shared" si="385"/>
        <v>0</v>
      </c>
      <c r="K723" s="331">
        <f t="shared" si="386"/>
        <v>0</v>
      </c>
      <c r="L723" s="331">
        <f t="shared" si="387"/>
        <v>0</v>
      </c>
      <c r="M723" s="3089"/>
      <c r="N723" s="3095"/>
    </row>
    <row r="724" spans="1:15" s="1314" customFormat="1" ht="14.25" customHeight="1" thickBot="1">
      <c r="A724" s="3100"/>
      <c r="B724" s="547" t="s">
        <v>78</v>
      </c>
      <c r="C724" s="3092"/>
      <c r="D724" s="280">
        <f>E724+F724+G724+H724+I724+J724+K724+L724</f>
        <v>23425991</v>
      </c>
      <c r="E724" s="321">
        <v>0</v>
      </c>
      <c r="F724" s="1851">
        <f>23425991</f>
        <v>23425991</v>
      </c>
      <c r="G724" s="350">
        <v>0</v>
      </c>
      <c r="H724" s="350">
        <v>0</v>
      </c>
      <c r="I724" s="350">
        <v>0</v>
      </c>
      <c r="J724" s="350">
        <v>0</v>
      </c>
      <c r="K724" s="350">
        <v>0</v>
      </c>
      <c r="L724" s="350">
        <v>0</v>
      </c>
      <c r="M724" s="3090"/>
      <c r="N724" s="3101"/>
    </row>
    <row r="725" spans="1:15" s="1314" customFormat="1" ht="15.75" customHeight="1">
      <c r="A725" s="3098" t="s">
        <v>92</v>
      </c>
      <c r="B725" s="317" t="s">
        <v>379</v>
      </c>
      <c r="C725" s="64" t="s">
        <v>81</v>
      </c>
      <c r="D725" s="144"/>
      <c r="E725" s="608"/>
      <c r="F725" s="45"/>
      <c r="G725" s="45"/>
      <c r="H725" s="45"/>
      <c r="I725" s="45"/>
      <c r="J725" s="45"/>
      <c r="K725" s="45"/>
      <c r="L725" s="45"/>
      <c r="M725" s="46"/>
      <c r="N725" s="3094" t="s">
        <v>87</v>
      </c>
    </row>
    <row r="726" spans="1:15" s="1314" customFormat="1" ht="12.75" customHeight="1">
      <c r="A726" s="3099"/>
      <c r="B726" s="826" t="s">
        <v>10</v>
      </c>
      <c r="C726" s="2974"/>
      <c r="D726" s="2975">
        <f>+D727</f>
        <v>115563000</v>
      </c>
      <c r="E726" s="2975">
        <f t="shared" ref="E726:I726" si="388">+E727</f>
        <v>0</v>
      </c>
      <c r="F726" s="2975">
        <f t="shared" si="388"/>
        <v>24533000</v>
      </c>
      <c r="G726" s="2975">
        <f t="shared" si="388"/>
        <v>29200000</v>
      </c>
      <c r="H726" s="2975">
        <f t="shared" si="388"/>
        <v>30550000</v>
      </c>
      <c r="I726" s="2975">
        <f t="shared" si="388"/>
        <v>31280000</v>
      </c>
      <c r="J726" s="2981">
        <v>0</v>
      </c>
      <c r="K726" s="2981">
        <v>0</v>
      </c>
      <c r="L726" s="2981">
        <v>0</v>
      </c>
      <c r="M726" s="2849">
        <f>+M727</f>
        <v>115563000</v>
      </c>
      <c r="N726" s="3095"/>
      <c r="O726" s="1313"/>
    </row>
    <row r="727" spans="1:15" s="1314" customFormat="1" ht="12.75" customHeight="1">
      <c r="A727" s="3099"/>
      <c r="B727" s="783" t="s">
        <v>24</v>
      </c>
      <c r="C727" s="3274" t="s">
        <v>84</v>
      </c>
      <c r="D727" s="2976">
        <f>+D728+D729</f>
        <v>115563000</v>
      </c>
      <c r="E727" s="2976">
        <f t="shared" ref="E727" si="389">+E728+E729</f>
        <v>0</v>
      </c>
      <c r="F727" s="2976">
        <f t="shared" ref="F727:L727" si="390">+F728+F729</f>
        <v>24533000</v>
      </c>
      <c r="G727" s="2976">
        <f t="shared" si="390"/>
        <v>29200000</v>
      </c>
      <c r="H727" s="2976">
        <f t="shared" si="390"/>
        <v>30550000</v>
      </c>
      <c r="I727" s="2976">
        <f t="shared" si="390"/>
        <v>31280000</v>
      </c>
      <c r="J727" s="2979">
        <f t="shared" si="390"/>
        <v>0</v>
      </c>
      <c r="K727" s="2979">
        <f t="shared" si="390"/>
        <v>0</v>
      </c>
      <c r="L727" s="2979">
        <f t="shared" si="390"/>
        <v>0</v>
      </c>
      <c r="M727" s="2938">
        <f>+M728+M729</f>
        <v>115563000</v>
      </c>
      <c r="N727" s="3095"/>
    </row>
    <row r="728" spans="1:15" s="1314" customFormat="1" ht="12">
      <c r="A728" s="3099"/>
      <c r="B728" s="2249" t="s">
        <v>12</v>
      </c>
      <c r="C728" s="3097"/>
      <c r="D728" s="2819">
        <f>E728+F728+G728+H728+I728+J728+K728+L728</f>
        <v>113140000</v>
      </c>
      <c r="E728" s="2903">
        <v>0</v>
      </c>
      <c r="F728" s="2966">
        <v>22110000</v>
      </c>
      <c r="G728" s="2966">
        <v>29200000</v>
      </c>
      <c r="H728" s="2966">
        <v>30550000</v>
      </c>
      <c r="I728" s="2966">
        <v>31280000</v>
      </c>
      <c r="J728" s="2884">
        <v>0</v>
      </c>
      <c r="K728" s="2884">
        <v>0</v>
      </c>
      <c r="L728" s="2884">
        <v>0</v>
      </c>
      <c r="M728" s="2968">
        <f>SUM(F728:L728)</f>
        <v>113140000</v>
      </c>
      <c r="N728" s="3095"/>
    </row>
    <row r="729" spans="1:15" s="1314" customFormat="1" ht="13.5" customHeight="1">
      <c r="A729" s="3099"/>
      <c r="B729" s="2258" t="s">
        <v>116</v>
      </c>
      <c r="C729" s="3105"/>
      <c r="D729" s="2819">
        <f>E729+F729+G729+H729+I729+J729+K729+L729</f>
        <v>2423000</v>
      </c>
      <c r="E729" s="2903">
        <v>0</v>
      </c>
      <c r="F729" s="2966">
        <f>5000+1565000+235000+335000+53000+30000+200000</f>
        <v>2423000</v>
      </c>
      <c r="G729" s="612">
        <v>0</v>
      </c>
      <c r="H729" s="612">
        <v>0</v>
      </c>
      <c r="I729" s="612">
        <v>0</v>
      </c>
      <c r="J729" s="612">
        <v>0</v>
      </c>
      <c r="K729" s="612">
        <v>0</v>
      </c>
      <c r="L729" s="612">
        <v>0</v>
      </c>
      <c r="M729" s="2259">
        <f>SUM(F729:L729)</f>
        <v>2423000</v>
      </c>
      <c r="N729" s="3095"/>
    </row>
    <row r="730" spans="1:15" s="1314" customFormat="1" ht="12.75" customHeight="1">
      <c r="A730" s="3099"/>
      <c r="B730" s="826" t="s">
        <v>22</v>
      </c>
      <c r="C730" s="2974"/>
      <c r="D730" s="2848">
        <f>+D731</f>
        <v>2423000</v>
      </c>
      <c r="E730" s="2831">
        <f t="shared" ref="E730" si="391">+E731</f>
        <v>0</v>
      </c>
      <c r="F730" s="2975">
        <f>+F731</f>
        <v>2423000</v>
      </c>
      <c r="G730" s="2981">
        <v>0</v>
      </c>
      <c r="H730" s="2981">
        <v>0</v>
      </c>
      <c r="I730" s="2981">
        <v>0</v>
      </c>
      <c r="J730" s="2981">
        <v>0</v>
      </c>
      <c r="K730" s="2981">
        <v>0</v>
      </c>
      <c r="L730" s="2981">
        <v>0</v>
      </c>
      <c r="M730" s="3088" t="s">
        <v>23</v>
      </c>
      <c r="N730" s="3095"/>
    </row>
    <row r="731" spans="1:15" s="1314" customFormat="1" ht="13.5" customHeight="1">
      <c r="A731" s="3099"/>
      <c r="B731" s="783" t="s">
        <v>24</v>
      </c>
      <c r="C731" s="3146" t="s">
        <v>84</v>
      </c>
      <c r="D731" s="2965">
        <f>+D732</f>
        <v>2423000</v>
      </c>
      <c r="E731" s="2976">
        <f>+E732</f>
        <v>0</v>
      </c>
      <c r="F731" s="2976">
        <f>+F732</f>
        <v>2423000</v>
      </c>
      <c r="G731" s="2979">
        <v>0</v>
      </c>
      <c r="H731" s="2979">
        <v>0</v>
      </c>
      <c r="I731" s="2979">
        <v>0</v>
      </c>
      <c r="J731" s="2979">
        <v>0</v>
      </c>
      <c r="K731" s="2979">
        <v>0</v>
      </c>
      <c r="L731" s="2979">
        <v>0</v>
      </c>
      <c r="M731" s="3089"/>
      <c r="N731" s="3095"/>
    </row>
    <row r="732" spans="1:15" s="1314" customFormat="1" ht="13.5" customHeight="1" thickBot="1">
      <c r="A732" s="3100"/>
      <c r="B732" s="411" t="s">
        <v>116</v>
      </c>
      <c r="C732" s="3120"/>
      <c r="D732" s="1337">
        <f>E732+F732+G732+H732+I732+J732+K732+L732</f>
        <v>2423000</v>
      </c>
      <c r="E732" s="1337">
        <v>0</v>
      </c>
      <c r="F732" s="1395">
        <f>5000+1565000+235000+335000+53000+30000+200000</f>
        <v>2423000</v>
      </c>
      <c r="G732" s="1398">
        <v>0</v>
      </c>
      <c r="H732" s="1398">
        <v>0</v>
      </c>
      <c r="I732" s="1398">
        <v>0</v>
      </c>
      <c r="J732" s="1398">
        <v>0</v>
      </c>
      <c r="K732" s="1398">
        <v>0</v>
      </c>
      <c r="L732" s="1398">
        <v>0</v>
      </c>
      <c r="M732" s="3090"/>
      <c r="N732" s="3101"/>
    </row>
    <row r="733" spans="1:15" s="1314" customFormat="1" ht="16.5" customHeight="1">
      <c r="A733" s="3098" t="s">
        <v>93</v>
      </c>
      <c r="B733" s="317" t="s">
        <v>470</v>
      </c>
      <c r="C733" s="64" t="s">
        <v>81</v>
      </c>
      <c r="D733" s="144"/>
      <c r="E733" s="608"/>
      <c r="F733" s="45"/>
      <c r="G733" s="45"/>
      <c r="H733" s="45"/>
      <c r="I733" s="45"/>
      <c r="J733" s="45"/>
      <c r="K733" s="45"/>
      <c r="L733" s="45"/>
      <c r="M733" s="46"/>
      <c r="N733" s="3094" t="s">
        <v>87</v>
      </c>
    </row>
    <row r="734" spans="1:15" s="1314" customFormat="1" ht="12">
      <c r="A734" s="3099"/>
      <c r="B734" s="21" t="s">
        <v>10</v>
      </c>
      <c r="C734" s="22"/>
      <c r="D734" s="536">
        <f>+D735</f>
        <v>3000000</v>
      </c>
      <c r="E734" s="536">
        <f t="shared" ref="E734:I735" si="392">+E735</f>
        <v>0</v>
      </c>
      <c r="F734" s="536">
        <f t="shared" si="392"/>
        <v>0</v>
      </c>
      <c r="G734" s="536">
        <f t="shared" si="392"/>
        <v>3000000</v>
      </c>
      <c r="H734" s="536">
        <f t="shared" si="392"/>
        <v>0</v>
      </c>
      <c r="I734" s="536">
        <f t="shared" si="392"/>
        <v>0</v>
      </c>
      <c r="J734" s="537">
        <v>0</v>
      </c>
      <c r="K734" s="537">
        <v>0</v>
      </c>
      <c r="L734" s="537">
        <v>0</v>
      </c>
      <c r="M734" s="553">
        <f>+M735</f>
        <v>3000000</v>
      </c>
      <c r="N734" s="3095"/>
      <c r="O734" s="1313"/>
    </row>
    <row r="735" spans="1:15" s="1314" customFormat="1" ht="12">
      <c r="A735" s="3099"/>
      <c r="B735" s="189" t="s">
        <v>24</v>
      </c>
      <c r="C735" s="3096" t="s">
        <v>84</v>
      </c>
      <c r="D735" s="557">
        <f>+D736</f>
        <v>3000000</v>
      </c>
      <c r="E735" s="557">
        <f t="shared" si="392"/>
        <v>0</v>
      </c>
      <c r="F735" s="557">
        <f t="shared" si="392"/>
        <v>0</v>
      </c>
      <c r="G735" s="557">
        <f t="shared" si="392"/>
        <v>3000000</v>
      </c>
      <c r="H735" s="557">
        <f t="shared" si="392"/>
        <v>0</v>
      </c>
      <c r="I735" s="557">
        <f t="shared" si="392"/>
        <v>0</v>
      </c>
      <c r="J735" s="559">
        <v>0</v>
      </c>
      <c r="K735" s="559">
        <v>0</v>
      </c>
      <c r="L735" s="559">
        <v>0</v>
      </c>
      <c r="M735" s="554">
        <f>+M736</f>
        <v>3000000</v>
      </c>
      <c r="N735" s="3095"/>
    </row>
    <row r="736" spans="1:15" s="1314" customFormat="1" thickBot="1">
      <c r="A736" s="3100"/>
      <c r="B736" s="547" t="s">
        <v>12</v>
      </c>
      <c r="C736" s="3103"/>
      <c r="D736" s="280">
        <f>E736+F736+G736+H736+I736+J736+K736+L736</f>
        <v>3000000</v>
      </c>
      <c r="E736" s="321">
        <v>0</v>
      </c>
      <c r="F736" s="267">
        <v>0</v>
      </c>
      <c r="G736" s="267">
        <v>3000000</v>
      </c>
      <c r="H736" s="267"/>
      <c r="I736" s="267"/>
      <c r="J736" s="350">
        <v>0</v>
      </c>
      <c r="K736" s="350">
        <v>0</v>
      </c>
      <c r="L736" s="350">
        <v>0</v>
      </c>
      <c r="M736" s="37">
        <f>SUM(F736:L736)</f>
        <v>3000000</v>
      </c>
      <c r="N736" s="3101"/>
    </row>
    <row r="737" spans="1:14" s="1314" customFormat="1" ht="18" customHeight="1">
      <c r="A737" s="3098" t="s">
        <v>94</v>
      </c>
      <c r="B737" s="317" t="s">
        <v>518</v>
      </c>
      <c r="C737" s="64" t="s">
        <v>81</v>
      </c>
      <c r="D737" s="144"/>
      <c r="E737" s="45"/>
      <c r="F737" s="45"/>
      <c r="G737" s="45"/>
      <c r="H737" s="45"/>
      <c r="I737" s="45"/>
      <c r="J737" s="45"/>
      <c r="K737" s="45"/>
      <c r="L737" s="45"/>
      <c r="M737" s="46"/>
      <c r="N737" s="3094" t="s">
        <v>87</v>
      </c>
    </row>
    <row r="738" spans="1:14" s="1314" customFormat="1" ht="12">
      <c r="A738" s="3099"/>
      <c r="B738" s="826" t="s">
        <v>10</v>
      </c>
      <c r="C738" s="1105"/>
      <c r="D738" s="805">
        <f>+D739</f>
        <v>30000000</v>
      </c>
      <c r="E738" s="805">
        <f t="shared" ref="E738:L739" si="393">+E739</f>
        <v>0</v>
      </c>
      <c r="F738" s="805">
        <f t="shared" si="393"/>
        <v>10000000</v>
      </c>
      <c r="G738" s="805">
        <f t="shared" si="393"/>
        <v>10000000</v>
      </c>
      <c r="H738" s="805">
        <f t="shared" si="393"/>
        <v>10000000</v>
      </c>
      <c r="I738" s="805">
        <f t="shared" si="393"/>
        <v>0</v>
      </c>
      <c r="J738" s="805">
        <f t="shared" si="393"/>
        <v>0</v>
      </c>
      <c r="K738" s="805">
        <f t="shared" si="393"/>
        <v>0</v>
      </c>
      <c r="L738" s="805">
        <f t="shared" si="393"/>
        <v>0</v>
      </c>
      <c r="M738" s="2027">
        <f>+M739</f>
        <v>30000000</v>
      </c>
      <c r="N738" s="3095"/>
    </row>
    <row r="739" spans="1:14" s="1314" customFormat="1" ht="12">
      <c r="A739" s="3099"/>
      <c r="B739" s="783" t="s">
        <v>24</v>
      </c>
      <c r="C739" s="3106" t="s">
        <v>84</v>
      </c>
      <c r="D739" s="806">
        <f>+D740</f>
        <v>30000000</v>
      </c>
      <c r="E739" s="806">
        <f t="shared" si="393"/>
        <v>0</v>
      </c>
      <c r="F739" s="806">
        <f t="shared" si="393"/>
        <v>10000000</v>
      </c>
      <c r="G739" s="806">
        <f t="shared" si="393"/>
        <v>10000000</v>
      </c>
      <c r="H739" s="806">
        <f t="shared" si="393"/>
        <v>10000000</v>
      </c>
      <c r="I739" s="806">
        <f t="shared" si="393"/>
        <v>0</v>
      </c>
      <c r="J739" s="806">
        <f t="shared" si="393"/>
        <v>0</v>
      </c>
      <c r="K739" s="806">
        <f t="shared" si="393"/>
        <v>0</v>
      </c>
      <c r="L739" s="806">
        <f t="shared" si="393"/>
        <v>0</v>
      </c>
      <c r="M739" s="804">
        <f>+M740</f>
        <v>30000000</v>
      </c>
      <c r="N739" s="3095"/>
    </row>
    <row r="740" spans="1:14" s="1314" customFormat="1" thickBot="1">
      <c r="A740" s="3100"/>
      <c r="B740" s="543" t="s">
        <v>12</v>
      </c>
      <c r="C740" s="3107"/>
      <c r="D740" s="1336">
        <f>E740+F740+G740+H740+I740+J740+K740+L740</f>
        <v>30000000</v>
      </c>
      <c r="E740" s="1336">
        <v>0</v>
      </c>
      <c r="F740" s="1395">
        <v>10000000</v>
      </c>
      <c r="G740" s="1395">
        <v>10000000</v>
      </c>
      <c r="H740" s="1395">
        <v>10000000</v>
      </c>
      <c r="I740" s="1395"/>
      <c r="J740" s="2260"/>
      <c r="K740" s="621"/>
      <c r="L740" s="1395"/>
      <c r="M740" s="1399">
        <f>SUM(F740:L740)</f>
        <v>30000000</v>
      </c>
      <c r="N740" s="3101"/>
    </row>
    <row r="741" spans="1:14" s="1314" customFormat="1">
      <c r="A741" s="2178"/>
      <c r="B741" s="2179"/>
      <c r="C741" s="1840"/>
      <c r="D741" s="2180"/>
      <c r="E741" s="2786"/>
      <c r="F741" s="274"/>
      <c r="G741" s="274"/>
      <c r="H741" s="274"/>
      <c r="I741" s="274"/>
      <c r="J741" s="2181"/>
      <c r="K741" s="2181"/>
      <c r="L741" s="1515"/>
      <c r="M741" s="1515"/>
      <c r="N741" s="1515"/>
    </row>
    <row r="742" spans="1:14" s="1314" customFormat="1">
      <c r="A742" s="2178"/>
      <c r="B742" s="2179"/>
      <c r="C742" s="1840"/>
      <c r="D742" s="2180"/>
      <c r="E742" s="2786"/>
      <c r="F742" s="274"/>
      <c r="G742" s="274"/>
      <c r="H742" s="274"/>
      <c r="I742" s="274"/>
      <c r="J742" s="2181"/>
      <c r="K742" s="2181"/>
      <c r="L742" s="1515"/>
      <c r="M742" s="1515"/>
      <c r="N742" s="1515"/>
    </row>
    <row r="743" spans="1:14" ht="15">
      <c r="A743" s="799" t="s">
        <v>403</v>
      </c>
      <c r="B743" s="3093" t="s">
        <v>572</v>
      </c>
      <c r="C743" s="3093"/>
      <c r="D743" s="3093"/>
      <c r="E743" s="3093"/>
      <c r="F743" s="3093"/>
      <c r="G743" s="3093"/>
      <c r="H743" s="3093"/>
      <c r="I743" s="3093"/>
      <c r="J743" s="3093"/>
      <c r="K743" s="3093"/>
      <c r="L743" s="3093"/>
      <c r="M743" s="3093"/>
      <c r="N743" s="163"/>
    </row>
    <row r="744" spans="1:14" ht="16.5" customHeight="1">
      <c r="A744" s="799" t="s">
        <v>483</v>
      </c>
      <c r="B744" s="3093" t="s">
        <v>571</v>
      </c>
      <c r="C744" s="3093"/>
      <c r="D744" s="3093"/>
      <c r="E744" s="3093"/>
      <c r="F744" s="3093"/>
      <c r="G744" s="3093"/>
      <c r="H744" s="3093"/>
      <c r="I744" s="3093"/>
      <c r="J744" s="3093"/>
      <c r="K744" s="3093"/>
      <c r="L744" s="3093"/>
      <c r="M744" s="3093"/>
    </row>
    <row r="746" spans="1:14" hidden="1">
      <c r="B746" s="262" t="s">
        <v>493</v>
      </c>
    </row>
    <row r="747" spans="1:14" hidden="1">
      <c r="B747" s="262" t="s">
        <v>494</v>
      </c>
      <c r="D747" s="563">
        <f t="shared" ref="D747:L747" si="394">D515</f>
        <v>384389</v>
      </c>
      <c r="E747" s="563">
        <f t="shared" si="394"/>
        <v>0</v>
      </c>
      <c r="F747" s="563">
        <f t="shared" si="394"/>
        <v>28480</v>
      </c>
      <c r="G747" s="563">
        <f t="shared" si="394"/>
        <v>200880</v>
      </c>
      <c r="H747" s="563">
        <f t="shared" si="394"/>
        <v>120335</v>
      </c>
      <c r="I747" s="563">
        <f t="shared" si="394"/>
        <v>34694</v>
      </c>
      <c r="J747" s="563">
        <f t="shared" si="394"/>
        <v>0</v>
      </c>
      <c r="K747" s="563">
        <f t="shared" si="394"/>
        <v>0</v>
      </c>
      <c r="L747" s="563">
        <f t="shared" si="394"/>
        <v>0</v>
      </c>
    </row>
    <row r="748" spans="1:14" hidden="1">
      <c r="B748" s="262" t="s">
        <v>495</v>
      </c>
      <c r="D748" s="563">
        <f t="shared" ref="D748:L748" si="395">D22-D515</f>
        <v>696553131</v>
      </c>
      <c r="E748" s="563">
        <f t="shared" si="395"/>
        <v>172029251</v>
      </c>
      <c r="F748" s="563">
        <f t="shared" si="395"/>
        <v>191364366</v>
      </c>
      <c r="G748" s="563">
        <f t="shared" si="395"/>
        <v>312578399</v>
      </c>
      <c r="H748" s="563">
        <f t="shared" si="395"/>
        <v>17447053</v>
      </c>
      <c r="I748" s="563">
        <f t="shared" si="395"/>
        <v>3134062</v>
      </c>
      <c r="J748" s="563">
        <f t="shared" si="395"/>
        <v>0</v>
      </c>
      <c r="K748" s="563">
        <f t="shared" si="395"/>
        <v>0</v>
      </c>
      <c r="L748" s="563">
        <f t="shared" si="395"/>
        <v>0</v>
      </c>
    </row>
    <row r="749" spans="1:14" hidden="1">
      <c r="B749" s="262" t="s">
        <v>496</v>
      </c>
      <c r="D749" s="1403">
        <f>D747+D748</f>
        <v>696937520</v>
      </c>
      <c r="E749" s="1403">
        <f t="shared" ref="E749:L749" si="396">E747+E748</f>
        <v>172029251</v>
      </c>
      <c r="F749" s="1403">
        <f t="shared" si="396"/>
        <v>191392846</v>
      </c>
      <c r="G749" s="1403">
        <f t="shared" si="396"/>
        <v>312779279</v>
      </c>
      <c r="H749" s="1403">
        <f t="shared" si="396"/>
        <v>17567388</v>
      </c>
      <c r="I749" s="1403">
        <f t="shared" si="396"/>
        <v>3168756</v>
      </c>
      <c r="J749" s="1403">
        <f t="shared" si="396"/>
        <v>0</v>
      </c>
      <c r="K749" s="1403">
        <f t="shared" si="396"/>
        <v>0</v>
      </c>
      <c r="L749" s="1403">
        <f t="shared" si="396"/>
        <v>0</v>
      </c>
    </row>
    <row r="750" spans="1:14" s="1209" customFormat="1" hidden="1">
      <c r="B750" s="1209" t="s">
        <v>42</v>
      </c>
      <c r="D750" s="1206">
        <f t="shared" ref="D750:L750" si="397">D22-D749</f>
        <v>0</v>
      </c>
      <c r="E750" s="1206">
        <f t="shared" si="397"/>
        <v>0</v>
      </c>
      <c r="F750" s="1206">
        <f t="shared" si="397"/>
        <v>0</v>
      </c>
      <c r="G750" s="1206">
        <f t="shared" si="397"/>
        <v>0</v>
      </c>
      <c r="H750" s="1206">
        <f t="shared" si="397"/>
        <v>0</v>
      </c>
      <c r="I750" s="1206">
        <f t="shared" si="397"/>
        <v>0</v>
      </c>
      <c r="J750" s="1206">
        <f t="shared" si="397"/>
        <v>0</v>
      </c>
      <c r="K750" s="1206">
        <f t="shared" si="397"/>
        <v>0</v>
      </c>
      <c r="L750" s="1206">
        <f t="shared" si="397"/>
        <v>0</v>
      </c>
    </row>
  </sheetData>
  <mergeCells count="361">
    <mergeCell ref="C731:C732"/>
    <mergeCell ref="A725:A732"/>
    <mergeCell ref="C727:C729"/>
    <mergeCell ref="N725:N732"/>
    <mergeCell ref="O224:O230"/>
    <mergeCell ref="O280:O284"/>
    <mergeCell ref="O292:O296"/>
    <mergeCell ref="A733:A736"/>
    <mergeCell ref="N733:N736"/>
    <mergeCell ref="C735:C736"/>
    <mergeCell ref="N610:N617"/>
    <mergeCell ref="N326:N332"/>
    <mergeCell ref="A338:A349"/>
    <mergeCell ref="N338:N344"/>
    <mergeCell ref="C340:C344"/>
    <mergeCell ref="M345:M349"/>
    <mergeCell ref="N345:N349"/>
    <mergeCell ref="C346:C349"/>
    <mergeCell ref="N567:N575"/>
    <mergeCell ref="C569:C572"/>
    <mergeCell ref="A436:A444"/>
    <mergeCell ref="N436:N441"/>
    <mergeCell ref="C438:C441"/>
    <mergeCell ref="A494:A502"/>
    <mergeCell ref="N653:N656"/>
    <mergeCell ref="C655:C657"/>
    <mergeCell ref="A567:A575"/>
    <mergeCell ref="A549:A566"/>
    <mergeCell ref="A467:A475"/>
    <mergeCell ref="A533:A548"/>
    <mergeCell ref="C516:C517"/>
    <mergeCell ref="C559:C566"/>
    <mergeCell ref="N585:N593"/>
    <mergeCell ref="C587:C590"/>
    <mergeCell ref="C632:C633"/>
    <mergeCell ref="A634:A637"/>
    <mergeCell ref="N634:N637"/>
    <mergeCell ref="C636:C637"/>
    <mergeCell ref="N618:N621"/>
    <mergeCell ref="C620:C621"/>
    <mergeCell ref="N576:N584"/>
    <mergeCell ref="N491:N493"/>
    <mergeCell ref="C492:C493"/>
    <mergeCell ref="M558:M566"/>
    <mergeCell ref="C520:C526"/>
    <mergeCell ref="C531:C532"/>
    <mergeCell ref="M530:M532"/>
    <mergeCell ref="N533:N547"/>
    <mergeCell ref="N442:N444"/>
    <mergeCell ref="C443:C444"/>
    <mergeCell ref="N381:N385"/>
    <mergeCell ref="N374:N380"/>
    <mergeCell ref="C382:C385"/>
    <mergeCell ref="C400:C404"/>
    <mergeCell ref="M405:M409"/>
    <mergeCell ref="C496:C499"/>
    <mergeCell ref="M500:M502"/>
    <mergeCell ref="C412:C417"/>
    <mergeCell ref="C419:C423"/>
    <mergeCell ref="C463:C466"/>
    <mergeCell ref="C487:C490"/>
    <mergeCell ref="M491:M493"/>
    <mergeCell ref="C469:C472"/>
    <mergeCell ref="N467:N472"/>
    <mergeCell ref="N500:N502"/>
    <mergeCell ref="M393:M397"/>
    <mergeCell ref="C394:C397"/>
    <mergeCell ref="C505:C511"/>
    <mergeCell ref="M515:M517"/>
    <mergeCell ref="O386:Q386"/>
    <mergeCell ref="A503:A517"/>
    <mergeCell ref="A705:A708"/>
    <mergeCell ref="N705:N708"/>
    <mergeCell ref="C707:C708"/>
    <mergeCell ref="C406:C409"/>
    <mergeCell ref="A446:A454"/>
    <mergeCell ref="N446:N451"/>
    <mergeCell ref="C448:C451"/>
    <mergeCell ref="N452:N454"/>
    <mergeCell ref="C453:C454"/>
    <mergeCell ref="N503:N517"/>
    <mergeCell ref="A455:A466"/>
    <mergeCell ref="N455:N461"/>
    <mergeCell ref="A595:A606"/>
    <mergeCell ref="N600:N609"/>
    <mergeCell ref="A485:A493"/>
    <mergeCell ref="N485:N490"/>
    <mergeCell ref="N462:N466"/>
    <mergeCell ref="M542:M548"/>
    <mergeCell ref="N410:N423"/>
    <mergeCell ref="N386:N397"/>
    <mergeCell ref="C82:C88"/>
    <mergeCell ref="N89:N95"/>
    <mergeCell ref="C90:C95"/>
    <mergeCell ref="M89:M94"/>
    <mergeCell ref="M118:M122"/>
    <mergeCell ref="A223:A237"/>
    <mergeCell ref="N224:N230"/>
    <mergeCell ref="C225:C230"/>
    <mergeCell ref="N98:N104"/>
    <mergeCell ref="C163:C164"/>
    <mergeCell ref="C165:C166"/>
    <mergeCell ref="C220:C221"/>
    <mergeCell ref="A206:A212"/>
    <mergeCell ref="A144:A155"/>
    <mergeCell ref="N145:N150"/>
    <mergeCell ref="C146:C150"/>
    <mergeCell ref="N151:N155"/>
    <mergeCell ref="C152:C155"/>
    <mergeCell ref="A156:A166"/>
    <mergeCell ref="N157:N161"/>
    <mergeCell ref="C158:C161"/>
    <mergeCell ref="A80:A95"/>
    <mergeCell ref="N81:N88"/>
    <mergeCell ref="C169:C172"/>
    <mergeCell ref="A250:A265"/>
    <mergeCell ref="N239:N244"/>
    <mergeCell ref="N315:N320"/>
    <mergeCell ref="C316:C320"/>
    <mergeCell ref="M321:M325"/>
    <mergeCell ref="N321:N325"/>
    <mergeCell ref="C322:C325"/>
    <mergeCell ref="N309:N313"/>
    <mergeCell ref="C310:C313"/>
    <mergeCell ref="A314:A325"/>
    <mergeCell ref="N273:N277"/>
    <mergeCell ref="A302:A313"/>
    <mergeCell ref="N303:N308"/>
    <mergeCell ref="C304:C308"/>
    <mergeCell ref="M309:M313"/>
    <mergeCell ref="N279:N284"/>
    <mergeCell ref="C280:C284"/>
    <mergeCell ref="M285:M289"/>
    <mergeCell ref="N285:N289"/>
    <mergeCell ref="C286:C289"/>
    <mergeCell ref="A290:A301"/>
    <mergeCell ref="A266:A277"/>
    <mergeCell ref="C268:C272"/>
    <mergeCell ref="C274:C277"/>
    <mergeCell ref="A3:N3"/>
    <mergeCell ref="C5:C6"/>
    <mergeCell ref="D5:D6"/>
    <mergeCell ref="N5:N6"/>
    <mergeCell ref="N53:N59"/>
    <mergeCell ref="C54:C57"/>
    <mergeCell ref="A52:A65"/>
    <mergeCell ref="N60:N65"/>
    <mergeCell ref="C61:C65"/>
    <mergeCell ref="A8:A33"/>
    <mergeCell ref="M5:M6"/>
    <mergeCell ref="M22:M33"/>
    <mergeCell ref="M60:M65"/>
    <mergeCell ref="F5:L5"/>
    <mergeCell ref="M43:M51"/>
    <mergeCell ref="N251:N258"/>
    <mergeCell ref="C252:C258"/>
    <mergeCell ref="A66:A79"/>
    <mergeCell ref="N67:N73"/>
    <mergeCell ref="C68:C73"/>
    <mergeCell ref="N74:N79"/>
    <mergeCell ref="C75:C79"/>
    <mergeCell ref="N132:N143"/>
    <mergeCell ref="C134:C138"/>
    <mergeCell ref="A123:A131"/>
    <mergeCell ref="N124:N128"/>
    <mergeCell ref="C125:C128"/>
    <mergeCell ref="N129:N131"/>
    <mergeCell ref="C140:C143"/>
    <mergeCell ref="C130:C131"/>
    <mergeCell ref="A132:A143"/>
    <mergeCell ref="C99:C104"/>
    <mergeCell ref="A111:A122"/>
    <mergeCell ref="N105:N110"/>
    <mergeCell ref="C106:C110"/>
    <mergeCell ref="N112:N117"/>
    <mergeCell ref="N118:N122"/>
    <mergeCell ref="C240:C244"/>
    <mergeCell ref="N162:N166"/>
    <mergeCell ref="C246:C249"/>
    <mergeCell ref="C215:C218"/>
    <mergeCell ref="A197:A200"/>
    <mergeCell ref="C199:C200"/>
    <mergeCell ref="A238:A249"/>
    <mergeCell ref="M203:M205"/>
    <mergeCell ref="N245:N249"/>
    <mergeCell ref="N203:N205"/>
    <mergeCell ref="C204:C205"/>
    <mergeCell ref="N231:N237"/>
    <mergeCell ref="C232:C237"/>
    <mergeCell ref="A213:A221"/>
    <mergeCell ref="N213:N221"/>
    <mergeCell ref="C119:C122"/>
    <mergeCell ref="C113:C116"/>
    <mergeCell ref="M129:M131"/>
    <mergeCell ref="M151:M155"/>
    <mergeCell ref="M162:M166"/>
    <mergeCell ref="M173:M175"/>
    <mergeCell ref="M210:M212"/>
    <mergeCell ref="M194:M196"/>
    <mergeCell ref="N173:N175"/>
    <mergeCell ref="C178:C182"/>
    <mergeCell ref="N183:N187"/>
    <mergeCell ref="C184:C187"/>
    <mergeCell ref="M183:M187"/>
    <mergeCell ref="N198:N200"/>
    <mergeCell ref="C174:C175"/>
    <mergeCell ref="N206:N212"/>
    <mergeCell ref="C208:C209"/>
    <mergeCell ref="C211:C212"/>
    <mergeCell ref="A97:A110"/>
    <mergeCell ref="M105:M110"/>
    <mergeCell ref="N267:N272"/>
    <mergeCell ref="M333:M337"/>
    <mergeCell ref="N333:N337"/>
    <mergeCell ref="C334:C337"/>
    <mergeCell ref="A326:A337"/>
    <mergeCell ref="C328:C332"/>
    <mergeCell ref="N259:N265"/>
    <mergeCell ref="C260:C265"/>
    <mergeCell ref="A167:A175"/>
    <mergeCell ref="N168:N172"/>
    <mergeCell ref="A188:A196"/>
    <mergeCell ref="N189:N193"/>
    <mergeCell ref="C190:C193"/>
    <mergeCell ref="N194:N196"/>
    <mergeCell ref="C195:C196"/>
    <mergeCell ref="A176:A187"/>
    <mergeCell ref="N177:N182"/>
    <mergeCell ref="M273:M277"/>
    <mergeCell ref="M219:M221"/>
    <mergeCell ref="M231:M237"/>
    <mergeCell ref="M245:M249"/>
    <mergeCell ref="M259:M265"/>
    <mergeCell ref="A410:A423"/>
    <mergeCell ref="A362:A373"/>
    <mergeCell ref="C298:C301"/>
    <mergeCell ref="A350:A361"/>
    <mergeCell ref="N398:N409"/>
    <mergeCell ref="A374:A385"/>
    <mergeCell ref="A278:A289"/>
    <mergeCell ref="A476:A484"/>
    <mergeCell ref="C478:C481"/>
    <mergeCell ref="M473:M475"/>
    <mergeCell ref="C474:C475"/>
    <mergeCell ref="A398:A409"/>
    <mergeCell ref="C457:C461"/>
    <mergeCell ref="A424:A435"/>
    <mergeCell ref="A386:A397"/>
    <mergeCell ref="C388:C392"/>
    <mergeCell ref="N291:N296"/>
    <mergeCell ref="C292:C296"/>
    <mergeCell ref="N297:N301"/>
    <mergeCell ref="N473:N475"/>
    <mergeCell ref="N350:N356"/>
    <mergeCell ref="C352:C356"/>
    <mergeCell ref="M297:M301"/>
    <mergeCell ref="C376:C380"/>
    <mergeCell ref="C358:C361"/>
    <mergeCell ref="N362:N368"/>
    <mergeCell ref="C364:C368"/>
    <mergeCell ref="N369:N373"/>
    <mergeCell ref="C370:C373"/>
    <mergeCell ref="N476:N481"/>
    <mergeCell ref="N482:N484"/>
    <mergeCell ref="M573:M575"/>
    <mergeCell ref="C501:C502"/>
    <mergeCell ref="N549:N565"/>
    <mergeCell ref="C551:C554"/>
    <mergeCell ref="M482:M484"/>
    <mergeCell ref="C483:C484"/>
    <mergeCell ref="N424:N430"/>
    <mergeCell ref="N494:N499"/>
    <mergeCell ref="M381:M385"/>
    <mergeCell ref="M431:M435"/>
    <mergeCell ref="M442:M444"/>
    <mergeCell ref="M452:M454"/>
    <mergeCell ref="M369:M373"/>
    <mergeCell ref="M357:M361"/>
    <mergeCell ref="N357:N361"/>
    <mergeCell ref="C574:C575"/>
    <mergeCell ref="M462:M466"/>
    <mergeCell ref="A646:A652"/>
    <mergeCell ref="N665:N667"/>
    <mergeCell ref="C666:C667"/>
    <mergeCell ref="A622:A629"/>
    <mergeCell ref="N622:N629"/>
    <mergeCell ref="C624:C626"/>
    <mergeCell ref="C628:C629"/>
    <mergeCell ref="M627:M629"/>
    <mergeCell ref="A630:A633"/>
    <mergeCell ref="A638:A645"/>
    <mergeCell ref="N638:N641"/>
    <mergeCell ref="C640:C642"/>
    <mergeCell ref="N643:N645"/>
    <mergeCell ref="C644:C645"/>
    <mergeCell ref="N646:N649"/>
    <mergeCell ref="C648:C649"/>
    <mergeCell ref="A661:A667"/>
    <mergeCell ref="M665:M667"/>
    <mergeCell ref="A653:A660"/>
    <mergeCell ref="C659:C660"/>
    <mergeCell ref="N658:N660"/>
    <mergeCell ref="N630:N633"/>
    <mergeCell ref="M643:M645"/>
    <mergeCell ref="M650:M652"/>
    <mergeCell ref="C592:C593"/>
    <mergeCell ref="M582:M584"/>
    <mergeCell ref="M591:M593"/>
    <mergeCell ref="M604:M609"/>
    <mergeCell ref="C612:C613"/>
    <mergeCell ref="A576:A584"/>
    <mergeCell ref="A610:A617"/>
    <mergeCell ref="M615:M617"/>
    <mergeCell ref="A618:A621"/>
    <mergeCell ref="A585:A593"/>
    <mergeCell ref="C616:C617"/>
    <mergeCell ref="C678:C680"/>
    <mergeCell ref="C723:C724"/>
    <mergeCell ref="A717:A724"/>
    <mergeCell ref="C719:C721"/>
    <mergeCell ref="N717:N721"/>
    <mergeCell ref="N722:N724"/>
    <mergeCell ref="M722:M724"/>
    <mergeCell ref="N672:N680"/>
    <mergeCell ref="M658:M660"/>
    <mergeCell ref="M677:M680"/>
    <mergeCell ref="M690:M692"/>
    <mergeCell ref="A713:A716"/>
    <mergeCell ref="N713:N716"/>
    <mergeCell ref="C715:C716"/>
    <mergeCell ref="N701:N704"/>
    <mergeCell ref="C703:C704"/>
    <mergeCell ref="C691:C692"/>
    <mergeCell ref="A668:A671"/>
    <mergeCell ref="N668:N671"/>
    <mergeCell ref="C670:C671"/>
    <mergeCell ref="A672:A680"/>
    <mergeCell ref="M730:M732"/>
    <mergeCell ref="C651:C652"/>
    <mergeCell ref="B744:M744"/>
    <mergeCell ref="N661:N664"/>
    <mergeCell ref="C663:C664"/>
    <mergeCell ref="A693:A700"/>
    <mergeCell ref="N693:N700"/>
    <mergeCell ref="N685:N692"/>
    <mergeCell ref="C699:C700"/>
    <mergeCell ref="B743:M743"/>
    <mergeCell ref="A681:A684"/>
    <mergeCell ref="M698:M700"/>
    <mergeCell ref="N681:N684"/>
    <mergeCell ref="C687:C689"/>
    <mergeCell ref="A709:A712"/>
    <mergeCell ref="N709:N712"/>
    <mergeCell ref="C711:C712"/>
    <mergeCell ref="A701:A704"/>
    <mergeCell ref="A737:A740"/>
    <mergeCell ref="N737:N740"/>
    <mergeCell ref="C739:C740"/>
    <mergeCell ref="C695:C697"/>
    <mergeCell ref="A685:A692"/>
    <mergeCell ref="C674:C675"/>
  </mergeCells>
  <printOptions horizontalCentered="1"/>
  <pageMargins left="3.937007874015748E-2" right="7.874015748031496E-2" top="0.51181102362204722" bottom="0.31496062992125984" header="0.11811023622047245" footer="0.15748031496062992"/>
  <pageSetup paperSize="9" scale="70" firstPageNumber="17" orientation="landscape" useFirstPageNumber="1" r:id="rId1"/>
  <headerFooter alignWithMargins="0">
    <oddHeader>&amp;C&amp;"Arial,Kursywa"Wieloletnia prognoza finansowa  Województwa Zachodniopomorskiego na lata 2017 - 2044&amp;"Arial,Normalny"
_______________________________________________________________________________________________________________________________</oddHeader>
    <oddFooter>&amp;C&amp;8&amp;P</oddFooter>
  </headerFooter>
  <rowBreaks count="8" manualBreakCount="8">
    <brk id="51" max="24" man="1"/>
    <brk id="187" max="13" man="1"/>
    <brk id="277" max="13" man="1"/>
    <brk id="337" max="13" man="1"/>
    <brk id="409" max="13" man="1"/>
    <brk id="466" max="13" man="1"/>
    <brk id="517" max="13" man="1"/>
    <brk id="633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75"/>
  <sheetViews>
    <sheetView showGridLines="0" view="pageBreakPreview" zoomScaleNormal="100" zoomScaleSheetLayoutView="100" workbookViewId="0"/>
  </sheetViews>
  <sheetFormatPr defaultColWidth="9.140625" defaultRowHeight="12.75"/>
  <cols>
    <col min="1" max="1" width="4" style="466" customWidth="1"/>
    <col min="2" max="2" width="53.42578125" style="467" customWidth="1"/>
    <col min="3" max="3" width="10.42578125" style="467" customWidth="1"/>
    <col min="4" max="4" width="14.5703125" style="467" customWidth="1"/>
    <col min="5" max="5" width="12.85546875" style="467" customWidth="1"/>
    <col min="6" max="6" width="10.42578125" style="467" customWidth="1"/>
    <col min="7" max="7" width="10.85546875" style="467" customWidth="1"/>
    <col min="8" max="8" width="11.140625" style="467" customWidth="1"/>
    <col min="9" max="9" width="11.5703125" style="467" customWidth="1"/>
    <col min="10" max="10" width="10" style="467" customWidth="1"/>
    <col min="11" max="12" width="9.42578125" style="467" bestFit="1" customWidth="1"/>
    <col min="13" max="13" width="12.7109375" style="467" customWidth="1"/>
    <col min="14" max="14" width="14.5703125" style="467" customWidth="1"/>
    <col min="15" max="15" width="14" style="467" hidden="1" customWidth="1"/>
    <col min="16" max="16" width="12.140625" style="467" hidden="1" customWidth="1"/>
    <col min="17" max="17" width="9.5703125" style="467" hidden="1" customWidth="1"/>
    <col min="18" max="18" width="14.28515625" style="467" hidden="1" customWidth="1"/>
    <col min="19" max="19" width="12" style="467" hidden="1" customWidth="1"/>
    <col min="20" max="21" width="0" style="467" hidden="1" customWidth="1"/>
    <col min="22" max="22" width="12.5703125" style="467" customWidth="1"/>
    <col min="23" max="16384" width="9.140625" style="467"/>
  </cols>
  <sheetData>
    <row r="1" spans="1:16" s="465" customFormat="1" ht="17.25" customHeight="1">
      <c r="A1" s="3010"/>
      <c r="B1" s="3010"/>
      <c r="C1" s="3010"/>
      <c r="D1" s="3010"/>
      <c r="E1" s="3010"/>
      <c r="F1" s="3010"/>
      <c r="G1" s="3010"/>
      <c r="H1" s="3010"/>
      <c r="I1" s="368" t="s">
        <v>118</v>
      </c>
      <c r="J1" s="368"/>
      <c r="K1" s="368"/>
      <c r="L1" s="368"/>
      <c r="M1" s="6"/>
      <c r="N1" s="7"/>
      <c r="O1" s="504"/>
    </row>
    <row r="2" spans="1:16" ht="12.75" customHeight="1">
      <c r="A2" s="3010"/>
      <c r="B2" s="3010"/>
      <c r="C2" s="3010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"/>
      <c r="O2" s="505"/>
    </row>
    <row r="3" spans="1:16" ht="34.5" customHeight="1" thickBot="1">
      <c r="A3" s="3335" t="s">
        <v>119</v>
      </c>
      <c r="B3" s="3336"/>
      <c r="C3" s="3336"/>
      <c r="D3" s="3336"/>
      <c r="E3" s="3336"/>
      <c r="F3" s="3336"/>
      <c r="G3" s="3336"/>
      <c r="H3" s="3336"/>
      <c r="I3" s="3336"/>
      <c r="J3" s="3336"/>
      <c r="K3" s="3336"/>
      <c r="L3" s="3336"/>
      <c r="M3" s="3336"/>
      <c r="N3" s="3337"/>
      <c r="O3" s="466"/>
    </row>
    <row r="4" spans="1:16" ht="55.5" customHeight="1">
      <c r="A4" s="3347" t="s">
        <v>74</v>
      </c>
      <c r="B4" s="3345" t="s">
        <v>75</v>
      </c>
      <c r="C4" s="3338" t="s">
        <v>71</v>
      </c>
      <c r="D4" s="3338" t="s">
        <v>120</v>
      </c>
      <c r="E4" s="2724" t="s">
        <v>295</v>
      </c>
      <c r="F4" s="3349" t="s">
        <v>415</v>
      </c>
      <c r="G4" s="3349"/>
      <c r="H4" s="3349"/>
      <c r="I4" s="3349"/>
      <c r="J4" s="3349"/>
      <c r="K4" s="3349"/>
      <c r="L4" s="3350"/>
      <c r="M4" s="3343" t="s">
        <v>410</v>
      </c>
      <c r="N4" s="3341" t="s">
        <v>73</v>
      </c>
      <c r="O4" s="636"/>
    </row>
    <row r="5" spans="1:16" ht="16.5" customHeight="1">
      <c r="A5" s="3348"/>
      <c r="B5" s="3346"/>
      <c r="C5" s="3339"/>
      <c r="D5" s="3340"/>
      <c r="E5" s="1464" t="s">
        <v>556</v>
      </c>
      <c r="F5" s="1463" t="s">
        <v>5</v>
      </c>
      <c r="G5" s="1463" t="s">
        <v>6</v>
      </c>
      <c r="H5" s="1463" t="s">
        <v>229</v>
      </c>
      <c r="I5" s="1463" t="s">
        <v>231</v>
      </c>
      <c r="J5" s="1463" t="s">
        <v>286</v>
      </c>
      <c r="K5" s="1463" t="s">
        <v>287</v>
      </c>
      <c r="L5" s="1463" t="s">
        <v>285</v>
      </c>
      <c r="M5" s="3344"/>
      <c r="N5" s="3342"/>
      <c r="O5" s="636"/>
    </row>
    <row r="6" spans="1:16" ht="13.5" customHeight="1">
      <c r="A6" s="1465">
        <v>1</v>
      </c>
      <c r="B6" s="1466">
        <v>2</v>
      </c>
      <c r="C6" s="1467" t="s">
        <v>121</v>
      </c>
      <c r="D6" s="1467" t="s">
        <v>122</v>
      </c>
      <c r="E6" s="1467">
        <v>5</v>
      </c>
      <c r="F6" s="1467">
        <v>6</v>
      </c>
      <c r="G6" s="1467">
        <v>7</v>
      </c>
      <c r="H6" s="1467">
        <v>8</v>
      </c>
      <c r="I6" s="1467">
        <v>9</v>
      </c>
      <c r="J6" s="1467">
        <v>10</v>
      </c>
      <c r="K6" s="1467">
        <v>11</v>
      </c>
      <c r="L6" s="1467">
        <v>12</v>
      </c>
      <c r="M6" s="1468">
        <v>13</v>
      </c>
      <c r="N6" s="1469">
        <v>14</v>
      </c>
      <c r="O6" s="636"/>
    </row>
    <row r="7" spans="1:16" ht="14.25" customHeight="1">
      <c r="A7" s="641"/>
      <c r="B7" s="1470" t="s">
        <v>76</v>
      </c>
      <c r="C7" s="1470"/>
      <c r="D7" s="1471">
        <f>+D8+D9</f>
        <v>102016554</v>
      </c>
      <c r="E7" s="1471">
        <f t="shared" ref="E7" si="0">+E8+E9</f>
        <v>10867238</v>
      </c>
      <c r="F7" s="1471">
        <f t="shared" ref="F7:G7" si="1">+F8+F9</f>
        <v>18308764</v>
      </c>
      <c r="G7" s="1471">
        <f t="shared" si="1"/>
        <v>18368577</v>
      </c>
      <c r="H7" s="1471">
        <f t="shared" ref="H7:M7" si="2">+H8+H9</f>
        <v>15361527</v>
      </c>
      <c r="I7" s="1471">
        <f t="shared" si="2"/>
        <v>11972015</v>
      </c>
      <c r="J7" s="1471">
        <f t="shared" si="2"/>
        <v>9597275</v>
      </c>
      <c r="K7" s="1471">
        <f t="shared" si="2"/>
        <v>8877275</v>
      </c>
      <c r="L7" s="1471">
        <f t="shared" si="2"/>
        <v>8663883</v>
      </c>
      <c r="M7" s="1472" t="e">
        <f t="shared" si="2"/>
        <v>#REF!</v>
      </c>
      <c r="N7" s="1473"/>
      <c r="O7" s="637"/>
      <c r="P7" s="468"/>
    </row>
    <row r="8" spans="1:16" ht="13.5" customHeight="1">
      <c r="A8" s="514"/>
      <c r="B8" s="1470" t="s">
        <v>77</v>
      </c>
      <c r="C8" s="1470"/>
      <c r="D8" s="1471">
        <f>+D24+D31+D51+D67+D115+D127+D175+D187+D199+D211+D79+D91+D103+D151+D235+D248</f>
        <v>101116801</v>
      </c>
      <c r="E8" s="1471">
        <f t="shared" ref="E8" si="3">+E24+E31+E51+E67+E115+E127+E175+E187+E199+E211+E79+E91+E103+E151+E235+E248</f>
        <v>10841283</v>
      </c>
      <c r="F8" s="1471">
        <f t="shared" ref="F8:M8" si="4">+F24+F31+F51+F67+F115+F127+F175+F187+F199+F211+F79+F91+F103+F151+F235+F248</f>
        <v>18074966</v>
      </c>
      <c r="G8" s="1471">
        <f t="shared" si="4"/>
        <v>17848577</v>
      </c>
      <c r="H8" s="1471">
        <f t="shared" si="4"/>
        <v>15241527</v>
      </c>
      <c r="I8" s="1471">
        <f t="shared" si="4"/>
        <v>11972015</v>
      </c>
      <c r="J8" s="1471">
        <f t="shared" si="4"/>
        <v>9597275</v>
      </c>
      <c r="K8" s="1471">
        <f t="shared" si="4"/>
        <v>8877275</v>
      </c>
      <c r="L8" s="1471">
        <f t="shared" si="4"/>
        <v>8663883</v>
      </c>
      <c r="M8" s="1472" t="e">
        <f t="shared" si="4"/>
        <v>#REF!</v>
      </c>
      <c r="N8" s="1473"/>
      <c r="O8" s="637"/>
      <c r="P8" s="468"/>
    </row>
    <row r="9" spans="1:16" ht="13.5" customHeight="1">
      <c r="A9" s="514"/>
      <c r="B9" s="1474" t="s">
        <v>9</v>
      </c>
      <c r="C9" s="1475"/>
      <c r="D9" s="1476">
        <f>D139+D163+D223+D260</f>
        <v>899753</v>
      </c>
      <c r="E9" s="1476">
        <f t="shared" ref="E9" si="5">E139+E163+E223+E260</f>
        <v>25955</v>
      </c>
      <c r="F9" s="1476">
        <f t="shared" ref="F9:M9" si="6">F139+F163+F223+F260</f>
        <v>233798</v>
      </c>
      <c r="G9" s="1476">
        <f t="shared" si="6"/>
        <v>520000</v>
      </c>
      <c r="H9" s="1476">
        <f t="shared" si="6"/>
        <v>120000</v>
      </c>
      <c r="I9" s="1476">
        <f t="shared" si="6"/>
        <v>0</v>
      </c>
      <c r="J9" s="1476">
        <f t="shared" si="6"/>
        <v>0</v>
      </c>
      <c r="K9" s="1476">
        <f t="shared" si="6"/>
        <v>0</v>
      </c>
      <c r="L9" s="1476">
        <f t="shared" si="6"/>
        <v>0</v>
      </c>
      <c r="M9" s="1472">
        <f t="shared" si="6"/>
        <v>873798</v>
      </c>
      <c r="N9" s="1473"/>
      <c r="O9" s="636"/>
    </row>
    <row r="10" spans="1:16" ht="13.5" customHeight="1">
      <c r="A10" s="514"/>
      <c r="B10" s="1357" t="s">
        <v>10</v>
      </c>
      <c r="C10" s="1357"/>
      <c r="D10" s="1477">
        <f>+D11+D14</f>
        <v>102016554</v>
      </c>
      <c r="E10" s="1477">
        <f t="shared" ref="E10" si="7">E11+E14</f>
        <v>10867238</v>
      </c>
      <c r="F10" s="1477">
        <f t="shared" ref="F10:I10" si="8">F11+F14</f>
        <v>18308764</v>
      </c>
      <c r="G10" s="1477">
        <f t="shared" si="8"/>
        <v>18368577</v>
      </c>
      <c r="H10" s="1477">
        <f t="shared" si="8"/>
        <v>15361527</v>
      </c>
      <c r="I10" s="1477">
        <f t="shared" si="8"/>
        <v>11972015</v>
      </c>
      <c r="J10" s="1477">
        <f>J11+J14</f>
        <v>9597275</v>
      </c>
      <c r="K10" s="1477">
        <f>K11+K14</f>
        <v>8877275</v>
      </c>
      <c r="L10" s="1477">
        <f>L11+L14</f>
        <v>8663883</v>
      </c>
      <c r="M10" s="1355">
        <f>M11+M14</f>
        <v>91149316</v>
      </c>
      <c r="N10" s="1478"/>
      <c r="O10" s="637"/>
      <c r="P10" s="468"/>
    </row>
    <row r="11" spans="1:16" s="469" customFormat="1" ht="13.5" customHeight="1">
      <c r="A11" s="514"/>
      <c r="B11" s="1479" t="s">
        <v>24</v>
      </c>
      <c r="C11" s="1479"/>
      <c r="D11" s="1480">
        <f>D12+D13</f>
        <v>13332381</v>
      </c>
      <c r="E11" s="1480">
        <f t="shared" ref="E11" si="9">E12+E13</f>
        <v>1642950</v>
      </c>
      <c r="F11" s="1480">
        <f t="shared" ref="F11:I11" si="10">F12+F13</f>
        <v>2094499</v>
      </c>
      <c r="G11" s="1480">
        <f t="shared" si="10"/>
        <v>1896136</v>
      </c>
      <c r="H11" s="1480">
        <f>H12+H13</f>
        <v>1815316</v>
      </c>
      <c r="I11" s="1480">
        <f t="shared" si="10"/>
        <v>1812714</v>
      </c>
      <c r="J11" s="1480">
        <f>J12+J13</f>
        <v>1439591</v>
      </c>
      <c r="K11" s="1480">
        <f>K12+K13</f>
        <v>1331592</v>
      </c>
      <c r="L11" s="1480">
        <f>L12+L13</f>
        <v>1299583</v>
      </c>
      <c r="M11" s="1481">
        <f>M12+M13</f>
        <v>11689431</v>
      </c>
      <c r="N11" s="1473"/>
      <c r="O11" s="638"/>
    </row>
    <row r="12" spans="1:16" ht="12.75" customHeight="1">
      <c r="A12" s="514"/>
      <c r="B12" s="1482" t="s">
        <v>12</v>
      </c>
      <c r="C12" s="1482"/>
      <c r="D12" s="1483">
        <f>D53+D69+D129+D141+D93+D81+D213+D105+D153+D165+D177+D33+D225+D237</f>
        <v>13332381</v>
      </c>
      <c r="E12" s="1483">
        <f t="shared" ref="E12" si="11">E53+E69+E129+E141+E93+E81+E213+E105+E153+E165+E177+E33+E225+E237</f>
        <v>1642950</v>
      </c>
      <c r="F12" s="1483">
        <f t="shared" ref="F12:M12" si="12">F53+F69+F129+F141+F93+F81+F213+F105+F153+F165+F177+F33+F225+F237</f>
        <v>2094499</v>
      </c>
      <c r="G12" s="1483">
        <f t="shared" si="12"/>
        <v>1896136</v>
      </c>
      <c r="H12" s="1483">
        <f t="shared" si="12"/>
        <v>1815316</v>
      </c>
      <c r="I12" s="1483">
        <f t="shared" si="12"/>
        <v>1812714</v>
      </c>
      <c r="J12" s="1483">
        <f t="shared" si="12"/>
        <v>1439591</v>
      </c>
      <c r="K12" s="1483">
        <f t="shared" si="12"/>
        <v>1331592</v>
      </c>
      <c r="L12" s="1483">
        <f t="shared" si="12"/>
        <v>1299583</v>
      </c>
      <c r="M12" s="1484">
        <f t="shared" si="12"/>
        <v>11689431</v>
      </c>
      <c r="N12" s="1473"/>
      <c r="O12" s="637"/>
    </row>
    <row r="13" spans="1:16" ht="12.75" hidden="1" customHeight="1">
      <c r="A13" s="514"/>
      <c r="B13" s="1485" t="s">
        <v>13</v>
      </c>
      <c r="C13" s="1482"/>
      <c r="D13" s="1021">
        <f t="shared" ref="D13:L13" si="13">D56+D70+D118+D130+D178+D37+D94+D82+D166</f>
        <v>0</v>
      </c>
      <c r="E13" s="1021">
        <f t="shared" ref="E13" si="14">E56+E70+E118+E130+E178+E37+E94+E82+E166</f>
        <v>0</v>
      </c>
      <c r="F13" s="1021">
        <f t="shared" si="13"/>
        <v>0</v>
      </c>
      <c r="G13" s="1021">
        <f t="shared" si="13"/>
        <v>0</v>
      </c>
      <c r="H13" s="1021">
        <f t="shared" si="13"/>
        <v>0</v>
      </c>
      <c r="I13" s="1021">
        <f t="shared" si="13"/>
        <v>0</v>
      </c>
      <c r="J13" s="1021">
        <f t="shared" si="13"/>
        <v>0</v>
      </c>
      <c r="K13" s="1021">
        <f t="shared" si="13"/>
        <v>0</v>
      </c>
      <c r="L13" s="1021">
        <f t="shared" si="13"/>
        <v>0</v>
      </c>
      <c r="M13" s="1023">
        <f>SUM(F13:I13)</f>
        <v>0</v>
      </c>
      <c r="N13" s="1473"/>
      <c r="O13" s="637"/>
    </row>
    <row r="14" spans="1:16" s="469" customFormat="1" ht="12.75" customHeight="1">
      <c r="A14" s="514"/>
      <c r="B14" s="1486" t="s">
        <v>18</v>
      </c>
      <c r="C14" s="1486"/>
      <c r="D14" s="1480">
        <f>D16+D15</f>
        <v>88684173</v>
      </c>
      <c r="E14" s="1480">
        <f t="shared" ref="E14" si="15">E16+E15</f>
        <v>9224288</v>
      </c>
      <c r="F14" s="1480">
        <f t="shared" ref="F14:M14" si="16">F16+F15</f>
        <v>16214265</v>
      </c>
      <c r="G14" s="1480">
        <f t="shared" si="16"/>
        <v>16472441</v>
      </c>
      <c r="H14" s="1480">
        <f t="shared" si="16"/>
        <v>13546211</v>
      </c>
      <c r="I14" s="1480">
        <f t="shared" si="16"/>
        <v>10159301</v>
      </c>
      <c r="J14" s="1480">
        <f t="shared" si="16"/>
        <v>8157684</v>
      </c>
      <c r="K14" s="1480">
        <f t="shared" si="16"/>
        <v>7545683</v>
      </c>
      <c r="L14" s="1480">
        <f t="shared" si="16"/>
        <v>7364300</v>
      </c>
      <c r="M14" s="1481">
        <f t="shared" si="16"/>
        <v>79459885</v>
      </c>
      <c r="N14" s="1473"/>
      <c r="O14" s="638"/>
    </row>
    <row r="15" spans="1:16" s="579" customFormat="1" ht="12.75" customHeight="1">
      <c r="A15" s="514"/>
      <c r="B15" s="1487" t="s">
        <v>20</v>
      </c>
      <c r="C15" s="1486"/>
      <c r="D15" s="1488">
        <f>+D39</f>
        <v>420817</v>
      </c>
      <c r="E15" s="2177">
        <f t="shared" ref="E15" si="17">+E39</f>
        <v>41460</v>
      </c>
      <c r="F15" s="2177">
        <f t="shared" ref="F15:H15" si="18">+F39</f>
        <v>213233</v>
      </c>
      <c r="G15" s="2177">
        <f t="shared" si="18"/>
        <v>107939</v>
      </c>
      <c r="H15" s="2177">
        <f t="shared" si="18"/>
        <v>44968</v>
      </c>
      <c r="I15" s="2177">
        <f>+I39</f>
        <v>13217</v>
      </c>
      <c r="J15" s="2177">
        <f t="shared" ref="J15:L15" si="19">+J39</f>
        <v>0</v>
      </c>
      <c r="K15" s="2177">
        <f t="shared" si="19"/>
        <v>0</v>
      </c>
      <c r="L15" s="2177">
        <f t="shared" si="19"/>
        <v>0</v>
      </c>
      <c r="M15" s="1484">
        <f>SUM(F15:L15)</f>
        <v>379357</v>
      </c>
      <c r="N15" s="1473"/>
      <c r="O15" s="638"/>
    </row>
    <row r="16" spans="1:16" ht="12.75" customHeight="1">
      <c r="A16" s="514"/>
      <c r="B16" s="1489" t="s">
        <v>21</v>
      </c>
      <c r="C16" s="1482"/>
      <c r="D16" s="1490">
        <f>+D58+D72+D120+D132+D180+D43+D192+D204+D26+D144+D96+D84+D216+D108+D156+D168+D228+D241+D250+D262</f>
        <v>88263356</v>
      </c>
      <c r="E16" s="1490">
        <f t="shared" ref="E16" si="20">+E58+E72+E120+E132+E180+E43+E192+E204+E26+E144+E96+E84+E216+E108+E156+E168+E228+E241+E250+E262</f>
        <v>9182828</v>
      </c>
      <c r="F16" s="1490">
        <f t="shared" ref="F16:M16" si="21">+F58+F72+F120+F132+F180+F43+F192+F204+F26+F144+F96+F84+F216+F108+F156+F168+F228+F241+F250+F262</f>
        <v>16001032</v>
      </c>
      <c r="G16" s="1490">
        <f t="shared" si="21"/>
        <v>16364502</v>
      </c>
      <c r="H16" s="1490">
        <f t="shared" si="21"/>
        <v>13501243</v>
      </c>
      <c r="I16" s="1490">
        <f t="shared" si="21"/>
        <v>10146084</v>
      </c>
      <c r="J16" s="1490">
        <f t="shared" si="21"/>
        <v>8157684</v>
      </c>
      <c r="K16" s="1490">
        <f t="shared" si="21"/>
        <v>7545683</v>
      </c>
      <c r="L16" s="1490">
        <f t="shared" si="21"/>
        <v>7364300</v>
      </c>
      <c r="M16" s="1484">
        <f t="shared" si="21"/>
        <v>79080528</v>
      </c>
      <c r="N16" s="1478"/>
      <c r="O16" s="637"/>
    </row>
    <row r="17" spans="1:16" ht="13.5" customHeight="1">
      <c r="A17" s="514"/>
      <c r="B17" s="1491" t="s">
        <v>22</v>
      </c>
      <c r="C17" s="1357"/>
      <c r="D17" s="1477">
        <f>D18+D20</f>
        <v>88684173</v>
      </c>
      <c r="E17" s="1477">
        <f t="shared" ref="E17" si="22">E18+E20</f>
        <v>9263476</v>
      </c>
      <c r="F17" s="1477">
        <f t="shared" ref="F17:L17" si="23">F18+F20</f>
        <v>15948864</v>
      </c>
      <c r="G17" s="1477">
        <f t="shared" si="23"/>
        <v>16539794</v>
      </c>
      <c r="H17" s="1477">
        <f t="shared" si="23"/>
        <v>13582482</v>
      </c>
      <c r="I17" s="1477">
        <f t="shared" si="23"/>
        <v>10223079</v>
      </c>
      <c r="J17" s="1477">
        <f t="shared" si="23"/>
        <v>8216495</v>
      </c>
      <c r="K17" s="1477">
        <f t="shared" si="23"/>
        <v>7545683</v>
      </c>
      <c r="L17" s="1477">
        <f t="shared" si="23"/>
        <v>7364300</v>
      </c>
      <c r="M17" s="3351" t="s">
        <v>61</v>
      </c>
      <c r="N17" s="1473"/>
      <c r="O17" s="639">
        <f>+D7-D10</f>
        <v>0</v>
      </c>
    </row>
    <row r="18" spans="1:16" ht="13.5" hidden="1" customHeight="1">
      <c r="A18" s="514"/>
      <c r="B18" s="1492" t="s">
        <v>24</v>
      </c>
      <c r="C18" s="1493"/>
      <c r="D18" s="1494">
        <f>D19</f>
        <v>0</v>
      </c>
      <c r="E18" s="1494">
        <f t="shared" ref="E18:I18" si="24">E19</f>
        <v>0</v>
      </c>
      <c r="F18" s="1494">
        <f t="shared" si="24"/>
        <v>0</v>
      </c>
      <c r="G18" s="1494">
        <f t="shared" si="24"/>
        <v>0</v>
      </c>
      <c r="H18" s="1494">
        <f t="shared" si="24"/>
        <v>0</v>
      </c>
      <c r="I18" s="1494">
        <f t="shared" si="24"/>
        <v>0</v>
      </c>
      <c r="J18" s="1494">
        <f>J19</f>
        <v>0</v>
      </c>
      <c r="K18" s="1494">
        <f>K19</f>
        <v>0</v>
      </c>
      <c r="L18" s="1494">
        <f>L19</f>
        <v>0</v>
      </c>
      <c r="M18" s="3351"/>
      <c r="N18" s="1473"/>
      <c r="O18" s="636"/>
    </row>
    <row r="19" spans="1:16" ht="13.5" hidden="1" customHeight="1">
      <c r="A19" s="514"/>
      <c r="B19" s="1495" t="s">
        <v>13</v>
      </c>
      <c r="C19" s="1496"/>
      <c r="D19" s="1490">
        <f>+D63+D75+D123+D135+D183+D46+D99+D87+D171</f>
        <v>0</v>
      </c>
      <c r="E19" s="1490">
        <f t="shared" ref="E19" si="25">+E63+E75+E123+E135+E183+E46+E99+E87+E171</f>
        <v>0</v>
      </c>
      <c r="F19" s="1490">
        <f t="shared" ref="F19:L19" si="26">+F63+F75+F123+F135+F183+F46+F99+F87+F171</f>
        <v>0</v>
      </c>
      <c r="G19" s="1490">
        <f t="shared" si="26"/>
        <v>0</v>
      </c>
      <c r="H19" s="1490">
        <f t="shared" si="26"/>
        <v>0</v>
      </c>
      <c r="I19" s="1490">
        <f t="shared" si="26"/>
        <v>0</v>
      </c>
      <c r="J19" s="1490">
        <f t="shared" si="26"/>
        <v>0</v>
      </c>
      <c r="K19" s="1490">
        <f t="shared" si="26"/>
        <v>0</v>
      </c>
      <c r="L19" s="1490">
        <f t="shared" si="26"/>
        <v>0</v>
      </c>
      <c r="M19" s="3351"/>
      <c r="N19" s="1473"/>
      <c r="O19" s="636"/>
    </row>
    <row r="20" spans="1:16" s="475" customFormat="1">
      <c r="A20" s="564"/>
      <c r="B20" s="1497" t="s">
        <v>18</v>
      </c>
      <c r="C20" s="1498"/>
      <c r="D20" s="1494">
        <f>D22+D21</f>
        <v>88684173</v>
      </c>
      <c r="E20" s="1494">
        <f t="shared" ref="E20" si="27">E22+E21</f>
        <v>9263476</v>
      </c>
      <c r="F20" s="1494">
        <f t="shared" ref="F20:L20" si="28">F22+F21</f>
        <v>15948864</v>
      </c>
      <c r="G20" s="1494">
        <f t="shared" si="28"/>
        <v>16539794</v>
      </c>
      <c r="H20" s="1494">
        <f t="shared" si="28"/>
        <v>13582482</v>
      </c>
      <c r="I20" s="1494">
        <f t="shared" si="28"/>
        <v>10223079</v>
      </c>
      <c r="J20" s="1494">
        <f t="shared" si="28"/>
        <v>8216495</v>
      </c>
      <c r="K20" s="1494">
        <f t="shared" si="28"/>
        <v>7545683</v>
      </c>
      <c r="L20" s="1494">
        <f t="shared" si="28"/>
        <v>7364300</v>
      </c>
      <c r="M20" s="3351"/>
      <c r="N20" s="1499"/>
      <c r="O20" s="640"/>
    </row>
    <row r="21" spans="1:16" s="578" customFormat="1">
      <c r="A21" s="564"/>
      <c r="B21" s="1487" t="s">
        <v>20</v>
      </c>
      <c r="C21" s="1498"/>
      <c r="D21" s="1500">
        <f>+D48</f>
        <v>420817</v>
      </c>
      <c r="E21" s="1500">
        <f t="shared" ref="E21" si="29">+E48</f>
        <v>0</v>
      </c>
      <c r="F21" s="1500">
        <f t="shared" ref="F21:L21" si="30">+F48</f>
        <v>28480</v>
      </c>
      <c r="G21" s="1500">
        <f t="shared" si="30"/>
        <v>175292</v>
      </c>
      <c r="H21" s="1500">
        <f t="shared" si="30"/>
        <v>81239</v>
      </c>
      <c r="I21" s="1500">
        <f t="shared" si="30"/>
        <v>76995</v>
      </c>
      <c r="J21" s="1500">
        <f t="shared" si="30"/>
        <v>58811</v>
      </c>
      <c r="K21" s="1500">
        <f t="shared" si="30"/>
        <v>0</v>
      </c>
      <c r="L21" s="1500">
        <f t="shared" si="30"/>
        <v>0</v>
      </c>
      <c r="M21" s="3352"/>
      <c r="N21" s="643"/>
      <c r="O21" s="640"/>
    </row>
    <row r="22" spans="1:16" ht="13.5" thickBot="1">
      <c r="A22" s="565"/>
      <c r="B22" s="644" t="s">
        <v>21</v>
      </c>
      <c r="C22" s="644"/>
      <c r="D22" s="645">
        <f>+D65+D77+D125+D137+D185+D49+D197+D209+D29+D149+D101+D89+D221+D113+D161+D173+D233+D246+D258+D268</f>
        <v>88263356</v>
      </c>
      <c r="E22" s="645">
        <f t="shared" ref="E22" si="31">+E65+E77+E125+E137+E185+E49+E197+E209+E29+E149+E101+E89+E221+E113+E161+E173+E233+E246+E258+E268</f>
        <v>9263476</v>
      </c>
      <c r="F22" s="645">
        <f t="shared" ref="F22:L22" si="32">+F65+F77+F125+F137+F185+F49+F197+F209+F29+F149+F101+F89+F221+F113+F161+F173+F233+F246+F258+F268</f>
        <v>15920384</v>
      </c>
      <c r="G22" s="645">
        <f t="shared" si="32"/>
        <v>16364502</v>
      </c>
      <c r="H22" s="645">
        <f t="shared" si="32"/>
        <v>13501243</v>
      </c>
      <c r="I22" s="645">
        <f t="shared" si="32"/>
        <v>10146084</v>
      </c>
      <c r="J22" s="645">
        <f t="shared" si="32"/>
        <v>8157684</v>
      </c>
      <c r="K22" s="645">
        <f t="shared" si="32"/>
        <v>7545683</v>
      </c>
      <c r="L22" s="645">
        <f t="shared" si="32"/>
        <v>7364300</v>
      </c>
      <c r="M22" s="3353"/>
      <c r="N22" s="646"/>
      <c r="O22" s="637">
        <f>D22-D16</f>
        <v>0</v>
      </c>
    </row>
    <row r="23" spans="1:16" hidden="1">
      <c r="A23" s="3327"/>
      <c r="B23" s="615"/>
      <c r="C23" s="616" t="s">
        <v>111</v>
      </c>
      <c r="D23" s="617"/>
      <c r="E23" s="95"/>
      <c r="F23" s="95"/>
      <c r="G23" s="95"/>
      <c r="H23" s="95"/>
      <c r="I23" s="95"/>
      <c r="J23" s="95"/>
      <c r="K23" s="95"/>
      <c r="L23" s="95"/>
      <c r="M23" s="618"/>
      <c r="N23" s="3307" t="s">
        <v>123</v>
      </c>
      <c r="O23" s="636"/>
    </row>
    <row r="24" spans="1:16" ht="12.75" hidden="1" customHeight="1">
      <c r="A24" s="3305"/>
      <c r="B24" s="1356" t="s">
        <v>10</v>
      </c>
      <c r="C24" s="1357"/>
      <c r="D24" s="1366">
        <f>+D25</f>
        <v>0</v>
      </c>
      <c r="E24" s="1366">
        <f t="shared" ref="E24:I24" si="33">+E25</f>
        <v>0</v>
      </c>
      <c r="F24" s="1366">
        <f t="shared" si="33"/>
        <v>0</v>
      </c>
      <c r="G24" s="1366">
        <f t="shared" si="33"/>
        <v>0</v>
      </c>
      <c r="H24" s="1366">
        <f t="shared" si="33"/>
        <v>0</v>
      </c>
      <c r="I24" s="1366">
        <f t="shared" si="33"/>
        <v>0</v>
      </c>
      <c r="J24" s="1366"/>
      <c r="K24" s="1366"/>
      <c r="L24" s="1366"/>
      <c r="M24" s="1358">
        <f>+M25</f>
        <v>0</v>
      </c>
      <c r="N24" s="3296"/>
      <c r="O24" s="637" t="e">
        <f>+#REF!+#REF!+F24+G24</f>
        <v>#REF!</v>
      </c>
      <c r="P24" s="468"/>
    </row>
    <row r="25" spans="1:16" ht="11.25" hidden="1" customHeight="1">
      <c r="A25" s="3305"/>
      <c r="B25" s="1363" t="s">
        <v>18</v>
      </c>
      <c r="C25" s="3328" t="s">
        <v>333</v>
      </c>
      <c r="D25" s="1364">
        <f t="shared" ref="D25:M25" si="34">+D26</f>
        <v>0</v>
      </c>
      <c r="E25" s="1039">
        <f t="shared" si="34"/>
        <v>0</v>
      </c>
      <c r="F25" s="1039">
        <f t="shared" si="34"/>
        <v>0</v>
      </c>
      <c r="G25" s="1039">
        <f t="shared" si="34"/>
        <v>0</v>
      </c>
      <c r="H25" s="1039">
        <f t="shared" si="34"/>
        <v>0</v>
      </c>
      <c r="I25" s="1039">
        <f t="shared" si="34"/>
        <v>0</v>
      </c>
      <c r="J25" s="1039"/>
      <c r="K25" s="1039"/>
      <c r="L25" s="1039"/>
      <c r="M25" s="1501">
        <f t="shared" si="34"/>
        <v>0</v>
      </c>
      <c r="N25" s="3296"/>
      <c r="O25" s="636"/>
    </row>
    <row r="26" spans="1:16" ht="13.5" hidden="1" customHeight="1">
      <c r="A26" s="3305"/>
      <c r="B26" s="1360" t="s">
        <v>21</v>
      </c>
      <c r="C26" s="3328"/>
      <c r="D26" s="280">
        <f>E26+F26+G26+H26+I26+J26+K26+L26</f>
        <v>0</v>
      </c>
      <c r="E26" s="999"/>
      <c r="F26" s="999">
        <v>0</v>
      </c>
      <c r="G26" s="999">
        <v>0</v>
      </c>
      <c r="H26" s="999">
        <v>0</v>
      </c>
      <c r="I26" s="999">
        <v>0</v>
      </c>
      <c r="J26" s="999"/>
      <c r="K26" s="999"/>
      <c r="L26" s="999"/>
      <c r="M26" s="1361">
        <f>SUM(F26:I26)</f>
        <v>0</v>
      </c>
      <c r="N26" s="3296"/>
      <c r="O26" s="636"/>
    </row>
    <row r="27" spans="1:16" ht="13.5" hidden="1" customHeight="1">
      <c r="A27" s="3314"/>
      <c r="B27" s="1356" t="s">
        <v>22</v>
      </c>
      <c r="C27" s="1357"/>
      <c r="D27" s="1366">
        <f>+D28</f>
        <v>0</v>
      </c>
      <c r="E27" s="1366">
        <f t="shared" ref="E27:I28" si="35">+E28</f>
        <v>0</v>
      </c>
      <c r="F27" s="1366">
        <f t="shared" si="35"/>
        <v>0</v>
      </c>
      <c r="G27" s="1366">
        <f t="shared" si="35"/>
        <v>0</v>
      </c>
      <c r="H27" s="1366">
        <f t="shared" si="35"/>
        <v>0</v>
      </c>
      <c r="I27" s="1366">
        <f t="shared" si="35"/>
        <v>0</v>
      </c>
      <c r="J27" s="1366"/>
      <c r="K27" s="1366"/>
      <c r="L27" s="1366"/>
      <c r="M27" s="1502" t="s">
        <v>61</v>
      </c>
      <c r="N27" s="3297"/>
      <c r="O27" s="636"/>
    </row>
    <row r="28" spans="1:16" ht="11.25" hidden="1" customHeight="1">
      <c r="A28" s="3314"/>
      <c r="B28" s="1363" t="s">
        <v>18</v>
      </c>
      <c r="C28" s="3329" t="s">
        <v>273</v>
      </c>
      <c r="D28" s="1364">
        <f>+D29</f>
        <v>0</v>
      </c>
      <c r="E28" s="1364">
        <f t="shared" si="35"/>
        <v>0</v>
      </c>
      <c r="F28" s="1364">
        <f t="shared" si="35"/>
        <v>0</v>
      </c>
      <c r="G28" s="1364">
        <f t="shared" si="35"/>
        <v>0</v>
      </c>
      <c r="H28" s="1364">
        <f t="shared" si="35"/>
        <v>0</v>
      </c>
      <c r="I28" s="1364">
        <f t="shared" si="35"/>
        <v>0</v>
      </c>
      <c r="J28" s="1364"/>
      <c r="K28" s="1364"/>
      <c r="L28" s="1364"/>
      <c r="M28" s="1503"/>
      <c r="N28" s="3297"/>
      <c r="O28" s="636"/>
    </row>
    <row r="29" spans="1:16" ht="13.5" hidden="1" customHeight="1">
      <c r="A29" s="3314"/>
      <c r="B29" s="1402" t="s">
        <v>21</v>
      </c>
      <c r="C29" s="3329"/>
      <c r="D29" s="280">
        <f>E29+F29+G29+H29+I29+J29+K29+L29</f>
        <v>0</v>
      </c>
      <c r="E29" s="999"/>
      <c r="F29" s="999">
        <v>0</v>
      </c>
      <c r="G29" s="999">
        <v>0</v>
      </c>
      <c r="H29" s="999">
        <v>0</v>
      </c>
      <c r="I29" s="999">
        <v>0</v>
      </c>
      <c r="J29" s="999"/>
      <c r="K29" s="999"/>
      <c r="L29" s="999"/>
      <c r="M29" s="1361"/>
      <c r="N29" s="3297"/>
      <c r="O29" s="636"/>
    </row>
    <row r="30" spans="1:16" ht="39" customHeight="1">
      <c r="A30" s="3324" t="s">
        <v>63</v>
      </c>
      <c r="B30" s="1352" t="s">
        <v>345</v>
      </c>
      <c r="C30" s="1353" t="s">
        <v>111</v>
      </c>
      <c r="D30" s="1021"/>
      <c r="E30" s="1354"/>
      <c r="F30" s="1354"/>
      <c r="G30" s="1354"/>
      <c r="H30" s="1354"/>
      <c r="I30" s="1354"/>
      <c r="J30" s="1354"/>
      <c r="K30" s="1354"/>
      <c r="L30" s="1354"/>
      <c r="M30" s="1355"/>
      <c r="N30" s="3296" t="s">
        <v>355</v>
      </c>
      <c r="O30" s="636"/>
    </row>
    <row r="31" spans="1:16" s="475" customFormat="1" ht="13.5" customHeight="1">
      <c r="A31" s="3294"/>
      <c r="B31" s="1356" t="s">
        <v>10</v>
      </c>
      <c r="C31" s="1357"/>
      <c r="D31" s="927">
        <f t="shared" ref="D31:J31" si="36">+D32+D38</f>
        <v>499079</v>
      </c>
      <c r="E31" s="927">
        <f t="shared" ref="E31" si="37">+E32+E38</f>
        <v>49005</v>
      </c>
      <c r="F31" s="927">
        <f t="shared" si="36"/>
        <v>252234</v>
      </c>
      <c r="G31" s="927">
        <f t="shared" si="36"/>
        <v>127787</v>
      </c>
      <c r="H31" s="927">
        <f t="shared" si="36"/>
        <v>53703</v>
      </c>
      <c r="I31" s="927">
        <f t="shared" si="36"/>
        <v>16350</v>
      </c>
      <c r="J31" s="927">
        <f t="shared" si="36"/>
        <v>0</v>
      </c>
      <c r="K31" s="927">
        <v>0</v>
      </c>
      <c r="L31" s="927">
        <v>0</v>
      </c>
      <c r="M31" s="1358">
        <f>+M32+M38</f>
        <v>450074</v>
      </c>
      <c r="N31" s="3296"/>
      <c r="O31" s="2261"/>
      <c r="P31" s="2262"/>
    </row>
    <row r="32" spans="1:16" s="475" customFormat="1" ht="13.5" customHeight="1">
      <c r="A32" s="3294"/>
      <c r="B32" s="2263" t="s">
        <v>24</v>
      </c>
      <c r="C32" s="3310" t="s">
        <v>408</v>
      </c>
      <c r="D32" s="1039">
        <f t="shared" ref="D32" si="38">+D33+D37</f>
        <v>78262</v>
      </c>
      <c r="E32" s="1039">
        <f t="shared" ref="E32" si="39">+E33+E37</f>
        <v>7545</v>
      </c>
      <c r="F32" s="1039">
        <f>+F33+F37</f>
        <v>39001</v>
      </c>
      <c r="G32" s="1039">
        <f>+G33+G37</f>
        <v>19848</v>
      </c>
      <c r="H32" s="1039">
        <f>+H33+H37</f>
        <v>8735</v>
      </c>
      <c r="I32" s="1039">
        <f>+I33</f>
        <v>3133</v>
      </c>
      <c r="J32" s="1039">
        <f>+J33</f>
        <v>0</v>
      </c>
      <c r="K32" s="1039">
        <v>0</v>
      </c>
      <c r="L32" s="1039">
        <v>0</v>
      </c>
      <c r="M32" s="1501">
        <f>+M33+M37</f>
        <v>70717</v>
      </c>
      <c r="N32" s="3296"/>
      <c r="O32" s="640"/>
    </row>
    <row r="33" spans="1:15" s="475" customFormat="1">
      <c r="A33" s="3294"/>
      <c r="B33" s="1402" t="s">
        <v>12</v>
      </c>
      <c r="C33" s="3311"/>
      <c r="D33" s="280">
        <f>E33+F33+G33+H33+I33+J33+K33+L33</f>
        <v>78262</v>
      </c>
      <c r="E33" s="321">
        <v>7545</v>
      </c>
      <c r="F33" s="999">
        <f t="shared" ref="F33:I33" si="40">+F35+F36</f>
        <v>39001</v>
      </c>
      <c r="G33" s="999">
        <f t="shared" si="40"/>
        <v>19848</v>
      </c>
      <c r="H33" s="999">
        <f t="shared" si="40"/>
        <v>8735</v>
      </c>
      <c r="I33" s="999">
        <f t="shared" si="40"/>
        <v>3133</v>
      </c>
      <c r="J33" s="999">
        <v>0</v>
      </c>
      <c r="K33" s="999">
        <v>0</v>
      </c>
      <c r="L33" s="999">
        <v>0</v>
      </c>
      <c r="M33" s="1361">
        <f>SUM(F33:L33)</f>
        <v>70717</v>
      </c>
      <c r="N33" s="3296"/>
      <c r="O33" s="640"/>
    </row>
    <row r="34" spans="1:15" s="2267" customFormat="1" ht="13.5" hidden="1" customHeight="1">
      <c r="A34" s="3325"/>
      <c r="B34" s="2264" t="s">
        <v>156</v>
      </c>
      <c r="C34" s="3326"/>
      <c r="D34" s="1362"/>
      <c r="E34" s="2265"/>
      <c r="F34" s="2266"/>
      <c r="G34" s="2266"/>
      <c r="H34" s="2266"/>
      <c r="I34" s="2266"/>
      <c r="J34" s="2266"/>
      <c r="K34" s="2266"/>
      <c r="L34" s="999"/>
      <c r="M34" s="1361"/>
      <c r="N34" s="3296"/>
      <c r="O34" s="640"/>
    </row>
    <row r="35" spans="1:15" s="2267" customFormat="1" ht="13.5" hidden="1" customHeight="1">
      <c r="A35" s="3325"/>
      <c r="B35" s="2264" t="s">
        <v>112</v>
      </c>
      <c r="C35" s="3326"/>
      <c r="D35" s="1362"/>
      <c r="E35" s="2265"/>
      <c r="F35" s="2266">
        <v>31679</v>
      </c>
      <c r="G35" s="2266">
        <v>12591</v>
      </c>
      <c r="H35" s="2266">
        <f>10929-2878</f>
        <v>8051</v>
      </c>
      <c r="I35" s="2266">
        <v>2920</v>
      </c>
      <c r="J35" s="2266"/>
      <c r="K35" s="2266"/>
      <c r="L35" s="999"/>
      <c r="M35" s="2268">
        <f>SUM(F35:I35)</f>
        <v>55241</v>
      </c>
      <c r="N35" s="3296"/>
      <c r="O35" s="640"/>
    </row>
    <row r="36" spans="1:15" s="2267" customFormat="1" ht="13.5" hidden="1" customHeight="1">
      <c r="A36" s="3325"/>
      <c r="B36" s="2264" t="s">
        <v>326</v>
      </c>
      <c r="C36" s="3326"/>
      <c r="D36" s="1362"/>
      <c r="E36" s="2265"/>
      <c r="F36" s="2266">
        <v>7322</v>
      </c>
      <c r="G36" s="2266">
        <f>6473+784</f>
        <v>7257</v>
      </c>
      <c r="H36" s="2266">
        <f>599+85</f>
        <v>684</v>
      </c>
      <c r="I36" s="2266">
        <f>186+27</f>
        <v>213</v>
      </c>
      <c r="J36" s="2266"/>
      <c r="K36" s="2266"/>
      <c r="L36" s="999"/>
      <c r="M36" s="2268">
        <f>SUM(F36:I36)</f>
        <v>15476</v>
      </c>
      <c r="N36" s="3296"/>
      <c r="O36" s="640"/>
    </row>
    <row r="37" spans="1:15" s="475" customFormat="1" ht="14.25" hidden="1" customHeight="1">
      <c r="A37" s="3294"/>
      <c r="B37" s="1402" t="s">
        <v>13</v>
      </c>
      <c r="C37" s="3311"/>
      <c r="D37" s="280">
        <f>E37+F37+G37+H37+I37+J37+K37+L37</f>
        <v>0</v>
      </c>
      <c r="E37" s="1017">
        <v>0</v>
      </c>
      <c r="F37" s="999"/>
      <c r="G37" s="999"/>
      <c r="H37" s="999"/>
      <c r="I37" s="999"/>
      <c r="J37" s="999"/>
      <c r="K37" s="999"/>
      <c r="L37" s="999"/>
      <c r="M37" s="1361">
        <f>SUM(F37:I37)</f>
        <v>0</v>
      </c>
      <c r="N37" s="3296"/>
      <c r="O37" s="640"/>
    </row>
    <row r="38" spans="1:15" s="475" customFormat="1">
      <c r="A38" s="3294"/>
      <c r="B38" s="1504" t="s">
        <v>18</v>
      </c>
      <c r="C38" s="3311"/>
      <c r="D38" s="1364">
        <f>+D43+D39</f>
        <v>420817</v>
      </c>
      <c r="E38" s="1364">
        <f t="shared" ref="E38" si="41">+E43+E39</f>
        <v>41460</v>
      </c>
      <c r="F38" s="1364">
        <f>+F43+F39</f>
        <v>213233</v>
      </c>
      <c r="G38" s="1364">
        <f>+G43+G39</f>
        <v>107939</v>
      </c>
      <c r="H38" s="1364">
        <f>+H43+H39</f>
        <v>44968</v>
      </c>
      <c r="I38" s="1364">
        <f>+I39</f>
        <v>13217</v>
      </c>
      <c r="J38" s="1364">
        <v>0</v>
      </c>
      <c r="K38" s="1364">
        <v>0</v>
      </c>
      <c r="L38" s="1364">
        <v>0</v>
      </c>
      <c r="M38" s="1503">
        <f>+M43+M39</f>
        <v>379357</v>
      </c>
      <c r="N38" s="3296"/>
      <c r="O38" s="640"/>
    </row>
    <row r="39" spans="1:15" s="578" customFormat="1">
      <c r="A39" s="3294"/>
      <c r="B39" s="1402" t="s">
        <v>20</v>
      </c>
      <c r="C39" s="3311"/>
      <c r="D39" s="280">
        <f>E39+F39+G39+H39+I39+J39+K39+L39</f>
        <v>420817</v>
      </c>
      <c r="E39" s="321">
        <v>41460</v>
      </c>
      <c r="F39" s="999">
        <f t="shared" ref="F39:I39" si="42">+F41+F42</f>
        <v>213233</v>
      </c>
      <c r="G39" s="999">
        <f t="shared" si="42"/>
        <v>107939</v>
      </c>
      <c r="H39" s="999">
        <f t="shared" si="42"/>
        <v>44968</v>
      </c>
      <c r="I39" s="999">
        <f t="shared" si="42"/>
        <v>13217</v>
      </c>
      <c r="J39" s="999">
        <v>0</v>
      </c>
      <c r="K39" s="999">
        <v>0</v>
      </c>
      <c r="L39" s="999">
        <v>0</v>
      </c>
      <c r="M39" s="1361">
        <f>SUM(F39:L39)</f>
        <v>379357</v>
      </c>
      <c r="N39" s="3296"/>
      <c r="O39" s="2261">
        <f>D39-D48</f>
        <v>0</v>
      </c>
    </row>
    <row r="40" spans="1:15" s="2267" customFormat="1" ht="13.5" hidden="1" customHeight="1">
      <c r="A40" s="3294"/>
      <c r="B40" s="2264" t="s">
        <v>156</v>
      </c>
      <c r="C40" s="3311"/>
      <c r="D40" s="1362"/>
      <c r="E40" s="1017"/>
      <c r="F40" s="2266"/>
      <c r="G40" s="2266"/>
      <c r="H40" s="2266"/>
      <c r="I40" s="2266"/>
      <c r="J40" s="2266"/>
      <c r="K40" s="2266"/>
      <c r="L40" s="2266"/>
      <c r="M40" s="2268"/>
      <c r="N40" s="3296"/>
      <c r="O40" s="640"/>
    </row>
    <row r="41" spans="1:15" s="2267" customFormat="1" ht="13.5" hidden="1" customHeight="1">
      <c r="A41" s="3294"/>
      <c r="B41" s="2264" t="s">
        <v>112</v>
      </c>
      <c r="C41" s="3311"/>
      <c r="D41" s="1362"/>
      <c r="E41" s="1017"/>
      <c r="F41" s="2266">
        <f>1482+28167+1112+84605+3706+47478+5188</f>
        <v>171738</v>
      </c>
      <c r="G41" s="2266">
        <f>1482+13343+1112+47172+3706</f>
        <v>66815</v>
      </c>
      <c r="H41" s="2266">
        <f>1482+15195+1853+32381+6486-16307</f>
        <v>41090</v>
      </c>
      <c r="I41" s="2266">
        <f>3706+371+6085+1853</f>
        <v>12015</v>
      </c>
      <c r="J41" s="2266"/>
      <c r="K41" s="2266"/>
      <c r="L41" s="2266"/>
      <c r="M41" s="2268">
        <f>SUM(F41:I41)</f>
        <v>291658</v>
      </c>
      <c r="N41" s="3296"/>
      <c r="O41" s="640"/>
    </row>
    <row r="42" spans="1:15" s="2267" customFormat="1" ht="13.5" hidden="1" customHeight="1">
      <c r="A42" s="3294"/>
      <c r="B42" s="2264" t="s">
        <v>326</v>
      </c>
      <c r="C42" s="3311"/>
      <c r="D42" s="1362"/>
      <c r="E42" s="1017"/>
      <c r="F42" s="2266">
        <f>28369+1756+4789+710+1512+4359</f>
        <v>41495</v>
      </c>
      <c r="G42" s="2266">
        <f>28654+2364+4931+731+4444</f>
        <v>41124</v>
      </c>
      <c r="H42" s="2266">
        <f>2663+220+445+67+483</f>
        <v>3878</v>
      </c>
      <c r="I42" s="2266">
        <f>672+222+138+21+149</f>
        <v>1202</v>
      </c>
      <c r="J42" s="2266"/>
      <c r="K42" s="2266"/>
      <c r="L42" s="2266"/>
      <c r="M42" s="2268">
        <f>SUM(F42:I42)</f>
        <v>87699</v>
      </c>
      <c r="N42" s="3296"/>
      <c r="O42" s="640"/>
    </row>
    <row r="43" spans="1:15" s="475" customFormat="1" ht="13.5" hidden="1" customHeight="1" collapsed="1">
      <c r="A43" s="3294"/>
      <c r="B43" s="1402" t="s">
        <v>21</v>
      </c>
      <c r="C43" s="3311"/>
      <c r="D43" s="280">
        <f>E43+F43+G43+H43+I43+J43+K43+L43</f>
        <v>0</v>
      </c>
      <c r="E43" s="1017">
        <v>0</v>
      </c>
      <c r="F43" s="999"/>
      <c r="G43" s="999"/>
      <c r="H43" s="999"/>
      <c r="I43" s="999"/>
      <c r="J43" s="999"/>
      <c r="K43" s="999"/>
      <c r="L43" s="999"/>
      <c r="M43" s="1361">
        <f>SUM(F43:I43)</f>
        <v>0</v>
      </c>
      <c r="N43" s="3296"/>
      <c r="O43" s="2261"/>
    </row>
    <row r="44" spans="1:15" s="475" customFormat="1" ht="12.75" customHeight="1">
      <c r="A44" s="3295"/>
      <c r="B44" s="1356" t="s">
        <v>22</v>
      </c>
      <c r="C44" s="1357"/>
      <c r="D44" s="983">
        <f>+D45+D47</f>
        <v>420817</v>
      </c>
      <c r="E44" s="983">
        <v>0</v>
      </c>
      <c r="F44" s="983">
        <f>+F45+F47</f>
        <v>28480</v>
      </c>
      <c r="G44" s="983">
        <f t="shared" ref="G44:J44" si="43">+G45+G47</f>
        <v>175292</v>
      </c>
      <c r="H44" s="983">
        <f t="shared" si="43"/>
        <v>81239</v>
      </c>
      <c r="I44" s="983">
        <f t="shared" si="43"/>
        <v>76995</v>
      </c>
      <c r="J44" s="983">
        <f t="shared" si="43"/>
        <v>58811</v>
      </c>
      <c r="K44" s="983">
        <v>0</v>
      </c>
      <c r="L44" s="983">
        <v>0</v>
      </c>
      <c r="M44" s="3298" t="s">
        <v>61</v>
      </c>
      <c r="N44" s="3297"/>
      <c r="O44" s="2261"/>
    </row>
    <row r="45" spans="1:15" s="475" customFormat="1" ht="13.5" hidden="1" customHeight="1">
      <c r="A45" s="3295"/>
      <c r="B45" s="2263" t="s">
        <v>24</v>
      </c>
      <c r="C45" s="3315" t="s">
        <v>346</v>
      </c>
      <c r="D45" s="1364">
        <f>+D46</f>
        <v>0</v>
      </c>
      <c r="E45" s="1364">
        <v>0</v>
      </c>
      <c r="F45" s="1364"/>
      <c r="G45" s="1364"/>
      <c r="H45" s="1364"/>
      <c r="I45" s="1364"/>
      <c r="J45" s="1364"/>
      <c r="K45" s="1364"/>
      <c r="L45" s="1364"/>
      <c r="M45" s="3298"/>
      <c r="N45" s="3297"/>
      <c r="O45" s="640"/>
    </row>
    <row r="46" spans="1:15" s="475" customFormat="1" ht="13.5" hidden="1" customHeight="1">
      <c r="A46" s="3295"/>
      <c r="B46" s="1402" t="s">
        <v>13</v>
      </c>
      <c r="C46" s="3311"/>
      <c r="D46" s="280">
        <f>E46+F46+G46+H46+I46+J46+K46+L46</f>
        <v>0</v>
      </c>
      <c r="E46" s="1362"/>
      <c r="F46" s="1362"/>
      <c r="G46" s="1362"/>
      <c r="H46" s="1362"/>
      <c r="I46" s="1362"/>
      <c r="J46" s="1362"/>
      <c r="K46" s="1362"/>
      <c r="L46" s="1362"/>
      <c r="M46" s="3298"/>
      <c r="N46" s="3297"/>
      <c r="O46" s="640"/>
    </row>
    <row r="47" spans="1:15" s="475" customFormat="1">
      <c r="A47" s="3295"/>
      <c r="B47" s="1504" t="s">
        <v>18</v>
      </c>
      <c r="C47" s="3316"/>
      <c r="D47" s="1364">
        <f>+D49+D48</f>
        <v>420817</v>
      </c>
      <c r="E47" s="1364">
        <v>0</v>
      </c>
      <c r="F47" s="1364">
        <f t="shared" ref="F47:J47" si="44">+F49+F48</f>
        <v>28480</v>
      </c>
      <c r="G47" s="1364">
        <f t="shared" si="44"/>
        <v>175292</v>
      </c>
      <c r="H47" s="1364">
        <f>+H49+H48</f>
        <v>81239</v>
      </c>
      <c r="I47" s="1364">
        <f t="shared" si="44"/>
        <v>76995</v>
      </c>
      <c r="J47" s="1364">
        <f t="shared" si="44"/>
        <v>58811</v>
      </c>
      <c r="K47" s="1364">
        <v>0</v>
      </c>
      <c r="L47" s="1364">
        <v>0</v>
      </c>
      <c r="M47" s="3298"/>
      <c r="N47" s="3297"/>
      <c r="O47" s="640"/>
    </row>
    <row r="48" spans="1:15" s="578" customFormat="1" ht="15.75" customHeight="1" thickBot="1">
      <c r="A48" s="3295"/>
      <c r="B48" s="1402" t="s">
        <v>20</v>
      </c>
      <c r="C48" s="3316"/>
      <c r="D48" s="280">
        <f>E48+F48+G48+H48+I48+J48+K48+L48</f>
        <v>420817</v>
      </c>
      <c r="E48" s="321">
        <v>0</v>
      </c>
      <c r="F48" s="999">
        <f>88766-60286</f>
        <v>28480</v>
      </c>
      <c r="G48" s="999">
        <f>154696+9365+11231</f>
        <v>175292</v>
      </c>
      <c r="H48" s="999">
        <f>103495-26700+4444</f>
        <v>81239</v>
      </c>
      <c r="I48" s="999">
        <f>60792+32027-15824</f>
        <v>76995</v>
      </c>
      <c r="J48" s="999">
        <f>13068+45594+149</f>
        <v>58811</v>
      </c>
      <c r="K48" s="999">
        <v>0</v>
      </c>
      <c r="L48" s="999">
        <v>0</v>
      </c>
      <c r="M48" s="3298"/>
      <c r="N48" s="3297"/>
      <c r="O48" s="640"/>
    </row>
    <row r="49" spans="1:15" ht="13.5" hidden="1" customHeight="1" thickBot="1">
      <c r="A49" s="3283"/>
      <c r="B49" s="619" t="s">
        <v>21</v>
      </c>
      <c r="C49" s="3323"/>
      <c r="D49" s="280">
        <f>E49+F49+G49+H49+I49+J49+K49+L49</f>
        <v>0</v>
      </c>
      <c r="E49" s="1393">
        <v>0</v>
      </c>
      <c r="F49" s="620"/>
      <c r="G49" s="620"/>
      <c r="H49" s="620"/>
      <c r="I49" s="620"/>
      <c r="J49" s="620"/>
      <c r="K49" s="620"/>
      <c r="L49" s="620"/>
      <c r="M49" s="3291"/>
      <c r="N49" s="3287"/>
      <c r="O49" s="636"/>
    </row>
    <row r="50" spans="1:15" ht="25.5" customHeight="1">
      <c r="A50" s="3280" t="s">
        <v>349</v>
      </c>
      <c r="B50" s="2066" t="s">
        <v>417</v>
      </c>
      <c r="C50" s="2067" t="s">
        <v>111</v>
      </c>
      <c r="D50" s="66"/>
      <c r="E50" s="802"/>
      <c r="F50" s="43"/>
      <c r="G50" s="43"/>
      <c r="H50" s="43"/>
      <c r="I50" s="43"/>
      <c r="J50" s="43"/>
      <c r="K50" s="43"/>
      <c r="L50" s="43"/>
      <c r="M50" s="819"/>
      <c r="N50" s="3284" t="s">
        <v>356</v>
      </c>
      <c r="O50" s="636"/>
    </row>
    <row r="51" spans="1:15">
      <c r="A51" s="3294"/>
      <c r="B51" s="1356" t="s">
        <v>10</v>
      </c>
      <c r="C51" s="2068"/>
      <c r="D51" s="1477">
        <f t="shared" ref="D51" si="45">+D52+D57</f>
        <v>1439977</v>
      </c>
      <c r="E51" s="927">
        <f t="shared" ref="E51" si="46">+E52+E57</f>
        <v>377120</v>
      </c>
      <c r="F51" s="927">
        <f t="shared" ref="F51:L51" si="47">+F52+F57</f>
        <v>1062857</v>
      </c>
      <c r="G51" s="927">
        <f t="shared" si="47"/>
        <v>0</v>
      </c>
      <c r="H51" s="927">
        <f t="shared" si="47"/>
        <v>0</v>
      </c>
      <c r="I51" s="927">
        <f t="shared" si="47"/>
        <v>0</v>
      </c>
      <c r="J51" s="927">
        <f t="shared" si="47"/>
        <v>0</v>
      </c>
      <c r="K51" s="927">
        <f t="shared" si="47"/>
        <v>0</v>
      </c>
      <c r="L51" s="927">
        <f t="shared" si="47"/>
        <v>0</v>
      </c>
      <c r="M51" s="1358">
        <f>+M52+M57</f>
        <v>1062857</v>
      </c>
      <c r="N51" s="3296"/>
      <c r="O51" s="637"/>
    </row>
    <row r="52" spans="1:15" ht="12.75" customHeight="1">
      <c r="A52" s="3294"/>
      <c r="B52" s="1359" t="s">
        <v>24</v>
      </c>
      <c r="C52" s="3330" t="s">
        <v>352</v>
      </c>
      <c r="D52" s="1039">
        <f t="shared" ref="D52:M52" si="48">+D53+D56</f>
        <v>215997</v>
      </c>
      <c r="E52" s="1039">
        <f t="shared" ref="E52" si="49">+E53+E56</f>
        <v>56568</v>
      </c>
      <c r="F52" s="1039">
        <f t="shared" si="48"/>
        <v>159429</v>
      </c>
      <c r="G52" s="1039">
        <f t="shared" si="48"/>
        <v>0</v>
      </c>
      <c r="H52" s="1039">
        <f t="shared" si="48"/>
        <v>0</v>
      </c>
      <c r="I52" s="1039">
        <f t="shared" si="48"/>
        <v>0</v>
      </c>
      <c r="J52" s="1039">
        <f t="shared" si="48"/>
        <v>0</v>
      </c>
      <c r="K52" s="1039">
        <f t="shared" si="48"/>
        <v>0</v>
      </c>
      <c r="L52" s="1039">
        <f t="shared" si="48"/>
        <v>0</v>
      </c>
      <c r="M52" s="1501">
        <f t="shared" si="48"/>
        <v>159429</v>
      </c>
      <c r="N52" s="3296"/>
      <c r="O52" s="636"/>
    </row>
    <row r="53" spans="1:15" ht="12.75" customHeight="1">
      <c r="A53" s="3294"/>
      <c r="B53" s="1360" t="s">
        <v>12</v>
      </c>
      <c r="C53" s="3331"/>
      <c r="D53" s="280">
        <f>E53+F53+G53+H53+I53+J53+K53+L53</f>
        <v>215997</v>
      </c>
      <c r="E53" s="321">
        <v>56568</v>
      </c>
      <c r="F53" s="1002">
        <f t="shared" ref="F53:L53" si="50">+F54+F55</f>
        <v>159429</v>
      </c>
      <c r="G53" s="999">
        <f t="shared" si="50"/>
        <v>0</v>
      </c>
      <c r="H53" s="999">
        <f t="shared" si="50"/>
        <v>0</v>
      </c>
      <c r="I53" s="999">
        <f t="shared" si="50"/>
        <v>0</v>
      </c>
      <c r="J53" s="999">
        <f t="shared" si="50"/>
        <v>0</v>
      </c>
      <c r="K53" s="999">
        <f t="shared" si="50"/>
        <v>0</v>
      </c>
      <c r="L53" s="999">
        <f t="shared" si="50"/>
        <v>0</v>
      </c>
      <c r="M53" s="1361">
        <f>SUM(F53:L53)</f>
        <v>159429</v>
      </c>
      <c r="N53" s="3296"/>
      <c r="O53" s="636"/>
    </row>
    <row r="54" spans="1:15" s="580" customFormat="1" ht="13.5" hidden="1" customHeight="1">
      <c r="A54" s="3294"/>
      <c r="B54" s="1360" t="s">
        <v>326</v>
      </c>
      <c r="C54" s="3331"/>
      <c r="D54" s="1362">
        <f>SUM(E54:L54)</f>
        <v>57325</v>
      </c>
      <c r="E54" s="1017">
        <v>0</v>
      </c>
      <c r="F54" s="1002">
        <f>57325+0</f>
        <v>57325</v>
      </c>
      <c r="G54" s="999"/>
      <c r="H54" s="999"/>
      <c r="I54" s="999"/>
      <c r="J54" s="999"/>
      <c r="K54" s="999"/>
      <c r="L54" s="999"/>
      <c r="M54" s="1361"/>
      <c r="N54" s="3296"/>
      <c r="O54" s="636"/>
    </row>
    <row r="55" spans="1:15" s="580" customFormat="1" ht="13.5" hidden="1" customHeight="1">
      <c r="A55" s="3294"/>
      <c r="B55" s="1360" t="s">
        <v>350</v>
      </c>
      <c r="C55" s="3331"/>
      <c r="D55" s="1362">
        <f>SUM(E55:L55)</f>
        <v>102104</v>
      </c>
      <c r="E55" s="1017">
        <v>0</v>
      </c>
      <c r="F55" s="1002">
        <f>55368+32504+14232</f>
        <v>102104</v>
      </c>
      <c r="G55" s="999"/>
      <c r="H55" s="999"/>
      <c r="I55" s="999"/>
      <c r="J55" s="999"/>
      <c r="K55" s="999"/>
      <c r="L55" s="999"/>
      <c r="M55" s="1361"/>
      <c r="N55" s="3296"/>
      <c r="O55" s="636"/>
    </row>
    <row r="56" spans="1:15" ht="12.75" hidden="1" customHeight="1">
      <c r="A56" s="3294"/>
      <c r="B56" s="1360" t="s">
        <v>13</v>
      </c>
      <c r="C56" s="3331"/>
      <c r="D56" s="1362">
        <f>SUM(E56:G56)</f>
        <v>0</v>
      </c>
      <c r="E56" s="1017">
        <v>0</v>
      </c>
      <c r="F56" s="999"/>
      <c r="G56" s="999"/>
      <c r="H56" s="999"/>
      <c r="I56" s="999"/>
      <c r="J56" s="999"/>
      <c r="K56" s="999"/>
      <c r="L56" s="999"/>
      <c r="M56" s="1361">
        <f>SUM(F56:L56)</f>
        <v>0</v>
      </c>
      <c r="N56" s="3296"/>
      <c r="O56" s="636"/>
    </row>
    <row r="57" spans="1:15" ht="13.5" customHeight="1">
      <c r="A57" s="3294"/>
      <c r="B57" s="1359" t="s">
        <v>18</v>
      </c>
      <c r="C57" s="3331"/>
      <c r="D57" s="1364">
        <f>+D58</f>
        <v>1223980</v>
      </c>
      <c r="E57" s="1364">
        <f t="shared" ref="E57:L57" si="51">+E58</f>
        <v>320552</v>
      </c>
      <c r="F57" s="1364">
        <f t="shared" si="51"/>
        <v>903428</v>
      </c>
      <c r="G57" s="1364">
        <f t="shared" si="51"/>
        <v>0</v>
      </c>
      <c r="H57" s="1364">
        <f t="shared" si="51"/>
        <v>0</v>
      </c>
      <c r="I57" s="1364">
        <f t="shared" si="51"/>
        <v>0</v>
      </c>
      <c r="J57" s="1364">
        <f t="shared" si="51"/>
        <v>0</v>
      </c>
      <c r="K57" s="1364">
        <f t="shared" si="51"/>
        <v>0</v>
      </c>
      <c r="L57" s="1364">
        <f t="shared" si="51"/>
        <v>0</v>
      </c>
      <c r="M57" s="1503">
        <f>+M58</f>
        <v>903428</v>
      </c>
      <c r="N57" s="3296"/>
      <c r="O57" s="636"/>
    </row>
    <row r="58" spans="1:15" ht="12" customHeight="1" collapsed="1">
      <c r="A58" s="3294"/>
      <c r="B58" s="1360" t="s">
        <v>21</v>
      </c>
      <c r="C58" s="3331"/>
      <c r="D58" s="280">
        <f>E58+F58+G58+H58+I58+J58+K58+L58</f>
        <v>1223980</v>
      </c>
      <c r="E58" s="321">
        <v>320552</v>
      </c>
      <c r="F58" s="999">
        <f t="shared" ref="F58:L58" si="52">+F59+F60</f>
        <v>903428</v>
      </c>
      <c r="G58" s="999">
        <f t="shared" si="52"/>
        <v>0</v>
      </c>
      <c r="H58" s="999">
        <f t="shared" si="52"/>
        <v>0</v>
      </c>
      <c r="I58" s="999">
        <f t="shared" si="52"/>
        <v>0</v>
      </c>
      <c r="J58" s="999">
        <f t="shared" si="52"/>
        <v>0</v>
      </c>
      <c r="K58" s="999">
        <f t="shared" si="52"/>
        <v>0</v>
      </c>
      <c r="L58" s="999">
        <f t="shared" si="52"/>
        <v>0</v>
      </c>
      <c r="M58" s="1361">
        <f>SUM(F58:L58)</f>
        <v>903428</v>
      </c>
      <c r="N58" s="3296"/>
      <c r="O58" s="636"/>
    </row>
    <row r="59" spans="1:15" s="580" customFormat="1" ht="13.5" hidden="1" customHeight="1">
      <c r="A59" s="3294"/>
      <c r="B59" s="1360" t="s">
        <v>326</v>
      </c>
      <c r="C59" s="3005"/>
      <c r="D59" s="1362">
        <f>SUM(E59:L59)</f>
        <v>324841</v>
      </c>
      <c r="E59" s="1017"/>
      <c r="F59" s="999">
        <v>324841</v>
      </c>
      <c r="G59" s="999"/>
      <c r="H59" s="999"/>
      <c r="I59" s="999"/>
      <c r="J59" s="999"/>
      <c r="K59" s="999"/>
      <c r="L59" s="999"/>
      <c r="M59" s="1361"/>
      <c r="N59" s="3296"/>
      <c r="O59" s="636"/>
    </row>
    <row r="60" spans="1:15" s="580" customFormat="1" ht="13.5" hidden="1" customHeight="1">
      <c r="A60" s="3294"/>
      <c r="B60" s="1360" t="s">
        <v>350</v>
      </c>
      <c r="C60" s="3005"/>
      <c r="D60" s="1362">
        <f>SUM(E60:L60)</f>
        <v>578587</v>
      </c>
      <c r="E60" s="1017"/>
      <c r="F60" s="999">
        <f>313750+184189+80648</f>
        <v>578587</v>
      </c>
      <c r="G60" s="999"/>
      <c r="H60" s="999"/>
      <c r="I60" s="999"/>
      <c r="J60" s="999"/>
      <c r="K60" s="999"/>
      <c r="L60" s="999"/>
      <c r="M60" s="1361"/>
      <c r="N60" s="3296"/>
      <c r="O60" s="636"/>
    </row>
    <row r="61" spans="1:15">
      <c r="A61" s="3295"/>
      <c r="B61" s="1356" t="s">
        <v>22</v>
      </c>
      <c r="C61" s="1357"/>
      <c r="D61" s="1366">
        <f t="shared" ref="D61:L61" si="53">+D62+D64</f>
        <v>1223980</v>
      </c>
      <c r="E61" s="1366">
        <f t="shared" ref="E61" si="54">+E62+E64</f>
        <v>401200</v>
      </c>
      <c r="F61" s="1366">
        <f t="shared" si="53"/>
        <v>822780</v>
      </c>
      <c r="G61" s="1366">
        <f t="shared" si="53"/>
        <v>0</v>
      </c>
      <c r="H61" s="1366">
        <f t="shared" si="53"/>
        <v>0</v>
      </c>
      <c r="I61" s="1366">
        <f t="shared" si="53"/>
        <v>0</v>
      </c>
      <c r="J61" s="1366">
        <f t="shared" si="53"/>
        <v>0</v>
      </c>
      <c r="K61" s="1366">
        <f t="shared" si="53"/>
        <v>0</v>
      </c>
      <c r="L61" s="1366">
        <f t="shared" si="53"/>
        <v>0</v>
      </c>
      <c r="M61" s="3298" t="s">
        <v>61</v>
      </c>
      <c r="N61" s="3297"/>
      <c r="O61" s="636"/>
    </row>
    <row r="62" spans="1:15" ht="13.5" hidden="1" customHeight="1">
      <c r="A62" s="3295"/>
      <c r="B62" s="1359" t="s">
        <v>24</v>
      </c>
      <c r="C62" s="3332" t="s">
        <v>351</v>
      </c>
      <c r="D62" s="1364">
        <f>+D63</f>
        <v>0</v>
      </c>
      <c r="E62" s="1364">
        <f t="shared" ref="E62:L62" si="55">+E63</f>
        <v>0</v>
      </c>
      <c r="F62" s="1364">
        <f t="shared" si="55"/>
        <v>0</v>
      </c>
      <c r="G62" s="1364">
        <f t="shared" si="55"/>
        <v>0</v>
      </c>
      <c r="H62" s="1364">
        <f t="shared" si="55"/>
        <v>0</v>
      </c>
      <c r="I62" s="1364">
        <f t="shared" si="55"/>
        <v>0</v>
      </c>
      <c r="J62" s="1364">
        <f t="shared" si="55"/>
        <v>0</v>
      </c>
      <c r="K62" s="1364">
        <f t="shared" si="55"/>
        <v>0</v>
      </c>
      <c r="L62" s="1364">
        <f t="shared" si="55"/>
        <v>0</v>
      </c>
      <c r="M62" s="3298"/>
      <c r="N62" s="3297"/>
      <c r="O62" s="636"/>
    </row>
    <row r="63" spans="1:15" ht="13.5" hidden="1" customHeight="1">
      <c r="A63" s="3295"/>
      <c r="B63" s="1360" t="s">
        <v>13</v>
      </c>
      <c r="C63" s="3333"/>
      <c r="D63" s="1362">
        <f>SUM(E63:G63)</f>
        <v>0</v>
      </c>
      <c r="E63" s="1362"/>
      <c r="F63" s="1362"/>
      <c r="G63" s="1362"/>
      <c r="H63" s="1362"/>
      <c r="I63" s="1362"/>
      <c r="J63" s="1362"/>
      <c r="K63" s="1362"/>
      <c r="L63" s="1362"/>
      <c r="M63" s="3298"/>
      <c r="N63" s="3297"/>
      <c r="O63" s="636"/>
    </row>
    <row r="64" spans="1:15" ht="13.9" customHeight="1">
      <c r="A64" s="3295"/>
      <c r="B64" s="1359" t="s">
        <v>18</v>
      </c>
      <c r="C64" s="3333"/>
      <c r="D64" s="1364">
        <f t="shared" ref="D64:L64" si="56">+D65</f>
        <v>1223980</v>
      </c>
      <c r="E64" s="1364">
        <f t="shared" si="56"/>
        <v>401200</v>
      </c>
      <c r="F64" s="1364">
        <f t="shared" si="56"/>
        <v>822780</v>
      </c>
      <c r="G64" s="1364">
        <f t="shared" si="56"/>
        <v>0</v>
      </c>
      <c r="H64" s="1364">
        <f t="shared" si="56"/>
        <v>0</v>
      </c>
      <c r="I64" s="1364">
        <f t="shared" si="56"/>
        <v>0</v>
      </c>
      <c r="J64" s="1364">
        <f t="shared" si="56"/>
        <v>0</v>
      </c>
      <c r="K64" s="1364">
        <f t="shared" si="56"/>
        <v>0</v>
      </c>
      <c r="L64" s="1364">
        <f t="shared" si="56"/>
        <v>0</v>
      </c>
      <c r="M64" s="3298"/>
      <c r="N64" s="3297"/>
      <c r="O64" s="636"/>
    </row>
    <row r="65" spans="1:18" ht="13.5" customHeight="1" thickBot="1">
      <c r="A65" s="3283"/>
      <c r="B65" s="820" t="s">
        <v>21</v>
      </c>
      <c r="C65" s="3334"/>
      <c r="D65" s="1336">
        <f>E65+F65+G65+H65+I65+J65+K65+L65</f>
        <v>1223980</v>
      </c>
      <c r="E65" s="1336">
        <v>401200</v>
      </c>
      <c r="F65" s="620">
        <f>638591+184189</f>
        <v>822780</v>
      </c>
      <c r="G65" s="620">
        <v>0</v>
      </c>
      <c r="H65" s="620">
        <v>0</v>
      </c>
      <c r="I65" s="620">
        <v>0</v>
      </c>
      <c r="J65" s="620">
        <v>0</v>
      </c>
      <c r="K65" s="620">
        <v>0</v>
      </c>
      <c r="L65" s="620">
        <v>0</v>
      </c>
      <c r="M65" s="3291"/>
      <c r="N65" s="3287"/>
      <c r="O65" s="636"/>
    </row>
    <row r="66" spans="1:18" hidden="1">
      <c r="A66" s="3304"/>
      <c r="B66" s="615"/>
      <c r="C66" s="616" t="s">
        <v>111</v>
      </c>
      <c r="D66" s="94"/>
      <c r="E66" s="95"/>
      <c r="F66" s="95"/>
      <c r="G66" s="95"/>
      <c r="H66" s="95"/>
      <c r="I66" s="95"/>
      <c r="J66" s="95"/>
      <c r="K66" s="95"/>
      <c r="L66" s="95"/>
      <c r="M66" s="618"/>
      <c r="N66" s="3307" t="s">
        <v>123</v>
      </c>
      <c r="O66" s="637"/>
    </row>
    <row r="67" spans="1:18" ht="13.5" hidden="1" customHeight="1">
      <c r="A67" s="3305"/>
      <c r="B67" s="1356" t="s">
        <v>10</v>
      </c>
      <c r="C67" s="1357"/>
      <c r="D67" s="927">
        <f t="shared" ref="D67" si="57">+D68+D71</f>
        <v>0</v>
      </c>
      <c r="E67" s="927">
        <v>0</v>
      </c>
      <c r="F67" s="927"/>
      <c r="G67" s="927"/>
      <c r="H67" s="927"/>
      <c r="I67" s="927"/>
      <c r="J67" s="927"/>
      <c r="K67" s="927"/>
      <c r="L67" s="927"/>
      <c r="M67" s="1358">
        <f>+M68+M71</f>
        <v>0</v>
      </c>
      <c r="N67" s="3296"/>
      <c r="O67" s="637" t="e">
        <f>+#REF!+#REF!+F67+G67</f>
        <v>#REF!</v>
      </c>
      <c r="P67" s="468"/>
    </row>
    <row r="68" spans="1:18" ht="13.5" hidden="1" customHeight="1">
      <c r="A68" s="3305"/>
      <c r="B68" s="1359" t="s">
        <v>24</v>
      </c>
      <c r="C68" s="3310" t="s">
        <v>273</v>
      </c>
      <c r="D68" s="1039">
        <f t="shared" ref="D68" si="58">+D69+D70</f>
        <v>0</v>
      </c>
      <c r="E68" s="1039">
        <v>0</v>
      </c>
      <c r="F68" s="1039"/>
      <c r="G68" s="1039"/>
      <c r="H68" s="1039"/>
      <c r="I68" s="1039"/>
      <c r="J68" s="1039"/>
      <c r="K68" s="1039"/>
      <c r="L68" s="1039"/>
      <c r="M68" s="1031">
        <f>+M69+M70</f>
        <v>0</v>
      </c>
      <c r="N68" s="3296"/>
      <c r="O68" s="636"/>
    </row>
    <row r="69" spans="1:18" ht="13.5" hidden="1" customHeight="1">
      <c r="A69" s="3305"/>
      <c r="B69" s="1360" t="s">
        <v>12</v>
      </c>
      <c r="C69" s="3311"/>
      <c r="D69" s="1362">
        <f>SUM(E69:G69)</f>
        <v>0</v>
      </c>
      <c r="E69" s="999">
        <v>0</v>
      </c>
      <c r="F69" s="999"/>
      <c r="G69" s="999"/>
      <c r="H69" s="999"/>
      <c r="I69" s="999"/>
      <c r="J69" s="999"/>
      <c r="K69" s="999"/>
      <c r="L69" s="999"/>
      <c r="M69" s="1361">
        <f>SUM(F69:L69)</f>
        <v>0</v>
      </c>
      <c r="N69" s="3296"/>
      <c r="O69" s="636"/>
    </row>
    <row r="70" spans="1:18" ht="13.5" hidden="1" customHeight="1">
      <c r="A70" s="3305"/>
      <c r="B70" s="1360" t="s">
        <v>13</v>
      </c>
      <c r="C70" s="3311"/>
      <c r="D70" s="1362">
        <f>SUM(E70:G70)</f>
        <v>0</v>
      </c>
      <c r="E70" s="999">
        <v>0</v>
      </c>
      <c r="F70" s="999"/>
      <c r="G70" s="999"/>
      <c r="H70" s="999"/>
      <c r="I70" s="999"/>
      <c r="J70" s="999"/>
      <c r="K70" s="999"/>
      <c r="L70" s="999"/>
      <c r="M70" s="1361">
        <f>SUM(F70:L70)</f>
        <v>0</v>
      </c>
      <c r="N70" s="3296"/>
      <c r="O70" s="636"/>
    </row>
    <row r="71" spans="1:18" ht="12.75" hidden="1" customHeight="1">
      <c r="A71" s="3305"/>
      <c r="B71" s="1363" t="s">
        <v>18</v>
      </c>
      <c r="C71" s="3311"/>
      <c r="D71" s="1364">
        <f>+D72</f>
        <v>0</v>
      </c>
      <c r="E71" s="1364">
        <v>0</v>
      </c>
      <c r="F71" s="1364"/>
      <c r="G71" s="1364"/>
      <c r="H71" s="1364"/>
      <c r="I71" s="1364"/>
      <c r="J71" s="1364"/>
      <c r="K71" s="1364"/>
      <c r="L71" s="1364"/>
      <c r="M71" s="1365">
        <f t="shared" ref="M71" si="59">+M72</f>
        <v>0</v>
      </c>
      <c r="N71" s="3296"/>
      <c r="O71" s="636"/>
    </row>
    <row r="72" spans="1:18" ht="13.5" hidden="1" customHeight="1">
      <c r="A72" s="3305"/>
      <c r="B72" s="1360" t="s">
        <v>21</v>
      </c>
      <c r="C72" s="3311"/>
      <c r="D72" s="1362">
        <f>SUM(E72:G72)</f>
        <v>0</v>
      </c>
      <c r="E72" s="999">
        <v>0</v>
      </c>
      <c r="F72" s="999"/>
      <c r="G72" s="999"/>
      <c r="H72" s="999"/>
      <c r="I72" s="999"/>
      <c r="J72" s="999"/>
      <c r="K72" s="999"/>
      <c r="L72" s="999"/>
      <c r="M72" s="1361">
        <f>SUM(F72:L72)</f>
        <v>0</v>
      </c>
      <c r="N72" s="3296"/>
      <c r="O72" s="636"/>
    </row>
    <row r="73" spans="1:18" ht="13.5" hidden="1" customHeight="1">
      <c r="A73" s="3314"/>
      <c r="B73" s="1356" t="s">
        <v>22</v>
      </c>
      <c r="C73" s="1357"/>
      <c r="D73" s="1366">
        <f t="shared" ref="D73" si="60">+D74+D76</f>
        <v>0</v>
      </c>
      <c r="E73" s="1366">
        <v>0</v>
      </c>
      <c r="F73" s="1366"/>
      <c r="G73" s="1366"/>
      <c r="H73" s="1366"/>
      <c r="I73" s="1366"/>
      <c r="J73" s="1366"/>
      <c r="K73" s="1366"/>
      <c r="L73" s="1366"/>
      <c r="M73" s="3298" t="s">
        <v>61</v>
      </c>
      <c r="N73" s="3297"/>
      <c r="O73" s="636"/>
    </row>
    <row r="74" spans="1:18" ht="13.5" hidden="1" customHeight="1">
      <c r="A74" s="3314"/>
      <c r="B74" s="1359" t="s">
        <v>24</v>
      </c>
      <c r="C74" s="3315" t="s">
        <v>273</v>
      </c>
      <c r="D74" s="1364">
        <f t="shared" ref="D74" si="61">+D75</f>
        <v>0</v>
      </c>
      <c r="E74" s="1364">
        <v>0</v>
      </c>
      <c r="F74" s="1364"/>
      <c r="G74" s="1364"/>
      <c r="H74" s="1364"/>
      <c r="I74" s="1364"/>
      <c r="J74" s="1364"/>
      <c r="K74" s="1364"/>
      <c r="L74" s="1364"/>
      <c r="M74" s="3298"/>
      <c r="N74" s="3297"/>
      <c r="O74" s="636"/>
    </row>
    <row r="75" spans="1:18" ht="13.5" hidden="1" customHeight="1">
      <c r="A75" s="3314"/>
      <c r="B75" s="1360" t="s">
        <v>13</v>
      </c>
      <c r="C75" s="3311"/>
      <c r="D75" s="1362">
        <f>SUM(E75:G75)</f>
        <v>0</v>
      </c>
      <c r="E75" s="999">
        <v>0</v>
      </c>
      <c r="F75" s="1362"/>
      <c r="G75" s="1362"/>
      <c r="H75" s="1362"/>
      <c r="I75" s="1362"/>
      <c r="J75" s="1362"/>
      <c r="K75" s="1362"/>
      <c r="L75" s="1362"/>
      <c r="M75" s="3298"/>
      <c r="N75" s="3297"/>
      <c r="O75" s="636"/>
    </row>
    <row r="76" spans="1:18" ht="12" hidden="1" customHeight="1">
      <c r="A76" s="3314"/>
      <c r="B76" s="1363" t="s">
        <v>18</v>
      </c>
      <c r="C76" s="3316"/>
      <c r="D76" s="1364">
        <f t="shared" ref="D76" si="62">+D77</f>
        <v>0</v>
      </c>
      <c r="E76" s="1364">
        <v>0</v>
      </c>
      <c r="F76" s="1364"/>
      <c r="G76" s="1364"/>
      <c r="H76" s="1364"/>
      <c r="I76" s="1364"/>
      <c r="J76" s="1364"/>
      <c r="K76" s="1364"/>
      <c r="L76" s="1364"/>
      <c r="M76" s="3298"/>
      <c r="N76" s="3297"/>
      <c r="O76" s="636"/>
    </row>
    <row r="77" spans="1:18" ht="13.5" hidden="1" customHeight="1">
      <c r="A77" s="3314"/>
      <c r="B77" s="1402" t="s">
        <v>21</v>
      </c>
      <c r="C77" s="3316"/>
      <c r="D77" s="1362">
        <f>SUM(E77:G77)</f>
        <v>0</v>
      </c>
      <c r="E77" s="999">
        <v>0</v>
      </c>
      <c r="F77" s="999"/>
      <c r="G77" s="999"/>
      <c r="H77" s="999"/>
      <c r="I77" s="999"/>
      <c r="J77" s="999"/>
      <c r="K77" s="999"/>
      <c r="L77" s="999"/>
      <c r="M77" s="3298"/>
      <c r="N77" s="3297"/>
      <c r="O77" s="636"/>
    </row>
    <row r="78" spans="1:18" ht="26.25" hidden="1" customHeight="1">
      <c r="A78" s="3305" t="s">
        <v>65</v>
      </c>
      <c r="B78" s="1352"/>
      <c r="C78" s="1353" t="s">
        <v>111</v>
      </c>
      <c r="D78" s="1021"/>
      <c r="E78" s="1354"/>
      <c r="F78" s="1354"/>
      <c r="G78" s="1354"/>
      <c r="H78" s="1354"/>
      <c r="I78" s="1354"/>
      <c r="J78" s="1354"/>
      <c r="K78" s="1354"/>
      <c r="L78" s="1354"/>
      <c r="M78" s="1355"/>
      <c r="N78" s="3296" t="s">
        <v>123</v>
      </c>
      <c r="O78" s="636"/>
      <c r="R78" s="474"/>
    </row>
    <row r="79" spans="1:18" ht="13.5" hidden="1" customHeight="1">
      <c r="A79" s="3305"/>
      <c r="B79" s="1356" t="s">
        <v>10</v>
      </c>
      <c r="C79" s="1357"/>
      <c r="D79" s="927">
        <f t="shared" ref="D79" si="63">+D80+D83</f>
        <v>0</v>
      </c>
      <c r="E79" s="927">
        <v>0</v>
      </c>
      <c r="F79" s="927"/>
      <c r="G79" s="927"/>
      <c r="H79" s="927"/>
      <c r="I79" s="927"/>
      <c r="J79" s="927"/>
      <c r="K79" s="927"/>
      <c r="L79" s="927"/>
      <c r="M79" s="1358">
        <f>+M80+M83</f>
        <v>0</v>
      </c>
      <c r="N79" s="3296"/>
      <c r="O79" s="637" t="e">
        <f>+#REF!+#REF!+F79+G79</f>
        <v>#REF!</v>
      </c>
      <c r="P79" s="468"/>
      <c r="Q79" s="468"/>
      <c r="R79" s="468"/>
    </row>
    <row r="80" spans="1:18" ht="13.5" hidden="1" customHeight="1">
      <c r="A80" s="3305"/>
      <c r="B80" s="1359" t="s">
        <v>24</v>
      </c>
      <c r="C80" s="3310" t="s">
        <v>273</v>
      </c>
      <c r="D80" s="1039">
        <f t="shared" ref="D80" si="64">+D81+D82</f>
        <v>0</v>
      </c>
      <c r="E80" s="1039">
        <v>0</v>
      </c>
      <c r="F80" s="1039"/>
      <c r="G80" s="1039"/>
      <c r="H80" s="1039"/>
      <c r="I80" s="1039"/>
      <c r="J80" s="1039"/>
      <c r="K80" s="1039"/>
      <c r="L80" s="1039"/>
      <c r="M80" s="1031">
        <f>+M81+M82</f>
        <v>0</v>
      </c>
      <c r="N80" s="3296"/>
      <c r="O80" s="636"/>
    </row>
    <row r="81" spans="1:15" ht="13.5" hidden="1" customHeight="1">
      <c r="A81" s="3305"/>
      <c r="B81" s="1360" t="s">
        <v>12</v>
      </c>
      <c r="C81" s="3311"/>
      <c r="D81" s="280">
        <f>E81+F81+G81+H81+I81+J81+K81+L81</f>
        <v>0</v>
      </c>
      <c r="E81" s="999"/>
      <c r="F81" s="999"/>
      <c r="G81" s="999"/>
      <c r="H81" s="999"/>
      <c r="I81" s="999"/>
      <c r="J81" s="999"/>
      <c r="K81" s="999"/>
      <c r="L81" s="999"/>
      <c r="M81" s="1361">
        <f>SUM(F81:I81)</f>
        <v>0</v>
      </c>
      <c r="N81" s="3296"/>
      <c r="O81" s="636"/>
    </row>
    <row r="82" spans="1:15" ht="12" hidden="1" customHeight="1">
      <c r="A82" s="3305"/>
      <c r="B82" s="1360" t="s">
        <v>13</v>
      </c>
      <c r="C82" s="3311"/>
      <c r="D82" s="280">
        <f>E82+F82+G82+H82+I82+J82+K82+L82</f>
        <v>0</v>
      </c>
      <c r="E82" s="999"/>
      <c r="F82" s="999"/>
      <c r="G82" s="999"/>
      <c r="H82" s="999"/>
      <c r="I82" s="999"/>
      <c r="J82" s="999"/>
      <c r="K82" s="999"/>
      <c r="L82" s="999"/>
      <c r="M82" s="1361">
        <f>SUM(F82:I82)</f>
        <v>0</v>
      </c>
      <c r="N82" s="3296"/>
      <c r="O82" s="636"/>
    </row>
    <row r="83" spans="1:15" ht="13.5" hidden="1" customHeight="1">
      <c r="A83" s="3305"/>
      <c r="B83" s="1363" t="s">
        <v>18</v>
      </c>
      <c r="C83" s="3311"/>
      <c r="D83" s="1364">
        <f>+D84</f>
        <v>0</v>
      </c>
      <c r="E83" s="1364">
        <v>0</v>
      </c>
      <c r="F83" s="1364"/>
      <c r="G83" s="1364"/>
      <c r="H83" s="1364"/>
      <c r="I83" s="1364"/>
      <c r="J83" s="1364"/>
      <c r="K83" s="1364"/>
      <c r="L83" s="1364"/>
      <c r="M83" s="1365">
        <f t="shared" ref="M83" si="65">+M84</f>
        <v>0</v>
      </c>
      <c r="N83" s="3296"/>
      <c r="O83" s="636"/>
    </row>
    <row r="84" spans="1:15" ht="12.75" hidden="1" customHeight="1">
      <c r="A84" s="3305"/>
      <c r="B84" s="1360" t="s">
        <v>21</v>
      </c>
      <c r="C84" s="3311"/>
      <c r="D84" s="280">
        <f>E84+F84+G84+H84+I84+J84+K84+L84</f>
        <v>0</v>
      </c>
      <c r="E84" s="999"/>
      <c r="F84" s="999"/>
      <c r="G84" s="999"/>
      <c r="H84" s="999"/>
      <c r="I84" s="999"/>
      <c r="J84" s="999"/>
      <c r="K84" s="999"/>
      <c r="L84" s="999"/>
      <c r="M84" s="1361">
        <f>SUM(F84:I84)</f>
        <v>0</v>
      </c>
      <c r="N84" s="3296"/>
      <c r="O84" s="636"/>
    </row>
    <row r="85" spans="1:15" ht="13.5" hidden="1" customHeight="1">
      <c r="A85" s="3314"/>
      <c r="B85" s="1356" t="s">
        <v>22</v>
      </c>
      <c r="C85" s="1357"/>
      <c r="D85" s="1366">
        <f t="shared" ref="D85" si="66">+D86+D88</f>
        <v>0</v>
      </c>
      <c r="E85" s="1366">
        <v>0</v>
      </c>
      <c r="F85" s="1366"/>
      <c r="G85" s="1366"/>
      <c r="H85" s="1366"/>
      <c r="I85" s="1366"/>
      <c r="J85" s="1366"/>
      <c r="K85" s="1366"/>
      <c r="L85" s="1366"/>
      <c r="M85" s="3298" t="s">
        <v>61</v>
      </c>
      <c r="N85" s="3297"/>
      <c r="O85" s="636"/>
    </row>
    <row r="86" spans="1:15" ht="13.5" hidden="1" customHeight="1">
      <c r="A86" s="3314"/>
      <c r="B86" s="1359" t="s">
        <v>24</v>
      </c>
      <c r="C86" s="3315" t="s">
        <v>273</v>
      </c>
      <c r="D86" s="1364">
        <f t="shared" ref="D86" si="67">+D87</f>
        <v>0</v>
      </c>
      <c r="E86" s="1364">
        <v>0</v>
      </c>
      <c r="F86" s="1364"/>
      <c r="G86" s="1364"/>
      <c r="H86" s="1364"/>
      <c r="I86" s="1364"/>
      <c r="J86" s="1364"/>
      <c r="K86" s="1364"/>
      <c r="L86" s="1364"/>
      <c r="M86" s="3298"/>
      <c r="N86" s="3297"/>
      <c r="O86" s="636"/>
    </row>
    <row r="87" spans="1:15" ht="13.5" hidden="1" customHeight="1">
      <c r="A87" s="3314"/>
      <c r="B87" s="1360" t="s">
        <v>13</v>
      </c>
      <c r="C87" s="3311"/>
      <c r="D87" s="280">
        <f>E87+F87+G87+H87+I87+J87+K87+L87</f>
        <v>0</v>
      </c>
      <c r="E87" s="999"/>
      <c r="F87" s="1362"/>
      <c r="G87" s="1362"/>
      <c r="H87" s="1362"/>
      <c r="I87" s="1362"/>
      <c r="J87" s="1362"/>
      <c r="K87" s="1362"/>
      <c r="L87" s="1362"/>
      <c r="M87" s="3298"/>
      <c r="N87" s="3297"/>
      <c r="O87" s="636"/>
    </row>
    <row r="88" spans="1:15" ht="12" hidden="1" customHeight="1">
      <c r="A88" s="3314"/>
      <c r="B88" s="1363" t="s">
        <v>18</v>
      </c>
      <c r="C88" s="3316"/>
      <c r="D88" s="1364">
        <f t="shared" ref="D88" si="68">+D89</f>
        <v>0</v>
      </c>
      <c r="E88" s="1364">
        <v>0</v>
      </c>
      <c r="F88" s="1364"/>
      <c r="G88" s="1364"/>
      <c r="H88" s="1364"/>
      <c r="I88" s="1364"/>
      <c r="J88" s="1364"/>
      <c r="K88" s="1364"/>
      <c r="L88" s="1364"/>
      <c r="M88" s="3298"/>
      <c r="N88" s="3297"/>
      <c r="O88" s="636"/>
    </row>
    <row r="89" spans="1:15" ht="13.5" hidden="1" customHeight="1" thickBot="1">
      <c r="A89" s="3322"/>
      <c r="B89" s="619" t="s">
        <v>21</v>
      </c>
      <c r="C89" s="3323"/>
      <c r="D89" s="280">
        <f>E89+F89+G89+H89+I89+J89+K89+L89</f>
        <v>0</v>
      </c>
      <c r="E89" s="620"/>
      <c r="F89" s="620"/>
      <c r="G89" s="620"/>
      <c r="H89" s="620"/>
      <c r="I89" s="620"/>
      <c r="J89" s="620"/>
      <c r="K89" s="620"/>
      <c r="L89" s="620"/>
      <c r="M89" s="3291"/>
      <c r="N89" s="3287"/>
      <c r="O89" s="636"/>
    </row>
    <row r="90" spans="1:15" ht="25.5" hidden="1" customHeight="1">
      <c r="A90" s="3304" t="s">
        <v>66</v>
      </c>
      <c r="B90" s="615"/>
      <c r="C90" s="616" t="s">
        <v>111</v>
      </c>
      <c r="D90" s="94"/>
      <c r="E90" s="95"/>
      <c r="F90" s="95"/>
      <c r="G90" s="95"/>
      <c r="H90" s="95"/>
      <c r="I90" s="95"/>
      <c r="J90" s="95"/>
      <c r="K90" s="95"/>
      <c r="L90" s="95"/>
      <c r="M90" s="618"/>
      <c r="N90" s="3307" t="s">
        <v>123</v>
      </c>
      <c r="O90" s="636"/>
    </row>
    <row r="91" spans="1:15" ht="13.5" hidden="1" customHeight="1">
      <c r="A91" s="3305"/>
      <c r="B91" s="1356" t="s">
        <v>10</v>
      </c>
      <c r="C91" s="1357"/>
      <c r="D91" s="927">
        <f>+D92+D95</f>
        <v>0</v>
      </c>
      <c r="E91" s="927">
        <v>0</v>
      </c>
      <c r="F91" s="927">
        <f t="shared" ref="F91" si="69">+F92+F95</f>
        <v>0</v>
      </c>
      <c r="G91" s="927"/>
      <c r="H91" s="927"/>
      <c r="I91" s="927"/>
      <c r="J91" s="927"/>
      <c r="K91" s="927"/>
      <c r="L91" s="927"/>
      <c r="M91" s="1358">
        <f>+M92+M95</f>
        <v>0</v>
      </c>
      <c r="N91" s="3296"/>
      <c r="O91" s="637" t="e">
        <f>+#REF!+#REF!+F91+G91</f>
        <v>#REF!</v>
      </c>
    </row>
    <row r="92" spans="1:15" ht="13.5" hidden="1" customHeight="1">
      <c r="A92" s="3305"/>
      <c r="B92" s="1359" t="s">
        <v>24</v>
      </c>
      <c r="C92" s="3310" t="s">
        <v>273</v>
      </c>
      <c r="D92" s="1039">
        <f>+D93+D94</f>
        <v>0</v>
      </c>
      <c r="E92" s="1039">
        <v>0</v>
      </c>
      <c r="F92" s="1039">
        <f t="shared" ref="F92" si="70">+F93+F94</f>
        <v>0</v>
      </c>
      <c r="G92" s="1039"/>
      <c r="H92" s="1039"/>
      <c r="I92" s="1039"/>
      <c r="J92" s="1039"/>
      <c r="K92" s="1039"/>
      <c r="L92" s="1039"/>
      <c r="M92" s="1031">
        <f>+M93+M94</f>
        <v>0</v>
      </c>
      <c r="N92" s="3296"/>
      <c r="O92" s="636"/>
    </row>
    <row r="93" spans="1:15" ht="11.25" hidden="1" customHeight="1">
      <c r="A93" s="3305"/>
      <c r="B93" s="1360" t="s">
        <v>12</v>
      </c>
      <c r="C93" s="3311"/>
      <c r="D93" s="280">
        <f t="shared" ref="D93:D94" si="71">E93+F93+G93+H93+I93+J93+K93+L93</f>
        <v>0</v>
      </c>
      <c r="E93" s="999"/>
      <c r="F93" s="999">
        <v>0</v>
      </c>
      <c r="G93" s="999"/>
      <c r="H93" s="999"/>
      <c r="I93" s="999"/>
      <c r="J93" s="999"/>
      <c r="K93" s="999"/>
      <c r="L93" s="999"/>
      <c r="M93" s="1361">
        <f>SUM(F93:I93)</f>
        <v>0</v>
      </c>
      <c r="N93" s="3296"/>
      <c r="O93" s="636"/>
    </row>
    <row r="94" spans="1:15" hidden="1">
      <c r="A94" s="3305"/>
      <c r="B94" s="1360" t="s">
        <v>13</v>
      </c>
      <c r="C94" s="3311"/>
      <c r="D94" s="280">
        <f t="shared" si="71"/>
        <v>0</v>
      </c>
      <c r="E94" s="999"/>
      <c r="F94" s="999">
        <v>0</v>
      </c>
      <c r="G94" s="999"/>
      <c r="H94" s="999"/>
      <c r="I94" s="999"/>
      <c r="J94" s="999"/>
      <c r="K94" s="999"/>
      <c r="L94" s="999"/>
      <c r="M94" s="1361">
        <f>SUM(F94:I94)</f>
        <v>0</v>
      </c>
      <c r="N94" s="3296"/>
      <c r="O94" s="636"/>
    </row>
    <row r="95" spans="1:15" ht="12.75" hidden="1" customHeight="1">
      <c r="A95" s="3305"/>
      <c r="B95" s="1363" t="s">
        <v>18</v>
      </c>
      <c r="C95" s="3311"/>
      <c r="D95" s="1364">
        <f>+D96</f>
        <v>0</v>
      </c>
      <c r="E95" s="1364">
        <v>0</v>
      </c>
      <c r="F95" s="1364">
        <f t="shared" ref="F95" si="72">+F96</f>
        <v>0</v>
      </c>
      <c r="G95" s="1364"/>
      <c r="H95" s="1364"/>
      <c r="I95" s="1364"/>
      <c r="J95" s="1364"/>
      <c r="K95" s="1364"/>
      <c r="L95" s="1364"/>
      <c r="M95" s="1365">
        <f>+M96</f>
        <v>0</v>
      </c>
      <c r="N95" s="3296"/>
      <c r="O95" s="636"/>
    </row>
    <row r="96" spans="1:15" hidden="1">
      <c r="A96" s="3305"/>
      <c r="B96" s="1360" t="s">
        <v>21</v>
      </c>
      <c r="C96" s="3311"/>
      <c r="D96" s="280">
        <f>E96+F96+G96+H96+I96+J96+K96+L96</f>
        <v>0</v>
      </c>
      <c r="E96" s="999"/>
      <c r="F96" s="999">
        <v>0</v>
      </c>
      <c r="G96" s="999"/>
      <c r="H96" s="999"/>
      <c r="I96" s="999"/>
      <c r="J96" s="999"/>
      <c r="K96" s="999"/>
      <c r="L96" s="999"/>
      <c r="M96" s="1361">
        <f>SUM(F96:I96)</f>
        <v>0</v>
      </c>
      <c r="N96" s="3296"/>
      <c r="O96" s="636"/>
    </row>
    <row r="97" spans="1:18" ht="13.5" hidden="1" customHeight="1">
      <c r="A97" s="3305"/>
      <c r="B97" s="1356" t="s">
        <v>22</v>
      </c>
      <c r="C97" s="1357"/>
      <c r="D97" s="1366">
        <f>+D98+D100</f>
        <v>0</v>
      </c>
      <c r="E97" s="1366">
        <v>0</v>
      </c>
      <c r="F97" s="1366">
        <f t="shared" ref="F97" si="73">+F98+F100</f>
        <v>0</v>
      </c>
      <c r="G97" s="1366"/>
      <c r="H97" s="1366"/>
      <c r="I97" s="1366"/>
      <c r="J97" s="1366"/>
      <c r="K97" s="1366"/>
      <c r="L97" s="1366"/>
      <c r="M97" s="3298" t="s">
        <v>61</v>
      </c>
      <c r="N97" s="3297"/>
      <c r="O97" s="636"/>
    </row>
    <row r="98" spans="1:18" ht="11.25" hidden="1" customHeight="1">
      <c r="A98" s="3305"/>
      <c r="B98" s="1359" t="s">
        <v>24</v>
      </c>
      <c r="C98" s="3315" t="s">
        <v>272</v>
      </c>
      <c r="D98" s="1364">
        <f>+D99</f>
        <v>0</v>
      </c>
      <c r="E98" s="1364">
        <v>0</v>
      </c>
      <c r="F98" s="1364">
        <f t="shared" ref="F98" si="74">+F99</f>
        <v>0</v>
      </c>
      <c r="G98" s="1364"/>
      <c r="H98" s="1364"/>
      <c r="I98" s="1364"/>
      <c r="J98" s="1364"/>
      <c r="K98" s="1364"/>
      <c r="L98" s="1364"/>
      <c r="M98" s="3298"/>
      <c r="N98" s="3297"/>
      <c r="O98" s="636"/>
    </row>
    <row r="99" spans="1:18" ht="11.25" hidden="1" customHeight="1">
      <c r="A99" s="3305"/>
      <c r="B99" s="1360" t="s">
        <v>13</v>
      </c>
      <c r="C99" s="3311"/>
      <c r="D99" s="280">
        <f>E99+F99+G99+H99+I99+J99+K99+L99</f>
        <v>0</v>
      </c>
      <c r="E99" s="999"/>
      <c r="F99" s="1362"/>
      <c r="G99" s="1362"/>
      <c r="H99" s="1362"/>
      <c r="I99" s="1362"/>
      <c r="J99" s="1362"/>
      <c r="K99" s="1362"/>
      <c r="L99" s="1362"/>
      <c r="M99" s="3298"/>
      <c r="N99" s="3297"/>
      <c r="O99" s="636"/>
    </row>
    <row r="100" spans="1:18" ht="12" hidden="1" customHeight="1">
      <c r="A100" s="3305"/>
      <c r="B100" s="1363" t="s">
        <v>18</v>
      </c>
      <c r="C100" s="3316"/>
      <c r="D100" s="1364">
        <f>+D101</f>
        <v>0</v>
      </c>
      <c r="E100" s="1364">
        <v>0</v>
      </c>
      <c r="F100" s="1364">
        <f t="shared" ref="F100" si="75">+F101</f>
        <v>0</v>
      </c>
      <c r="G100" s="1364"/>
      <c r="H100" s="1364"/>
      <c r="I100" s="1364"/>
      <c r="J100" s="1364"/>
      <c r="K100" s="1364"/>
      <c r="L100" s="1364"/>
      <c r="M100" s="3298"/>
      <c r="N100" s="3297"/>
      <c r="O100" s="636"/>
    </row>
    <row r="101" spans="1:18" ht="11.25" hidden="1" customHeight="1">
      <c r="A101" s="3305"/>
      <c r="B101" s="1402" t="s">
        <v>21</v>
      </c>
      <c r="C101" s="3316"/>
      <c r="D101" s="280">
        <f>E101+F101+G101+H101+I101+J101+K101+L101</f>
        <v>0</v>
      </c>
      <c r="E101" s="999"/>
      <c r="F101" s="999"/>
      <c r="G101" s="999"/>
      <c r="H101" s="999"/>
      <c r="I101" s="999"/>
      <c r="J101" s="999"/>
      <c r="K101" s="999"/>
      <c r="L101" s="999"/>
      <c r="M101" s="3298"/>
      <c r="N101" s="3297"/>
      <c r="O101" s="636"/>
    </row>
    <row r="102" spans="1:18" ht="18" hidden="1" customHeight="1">
      <c r="A102" s="3305" t="s">
        <v>67</v>
      </c>
      <c r="B102" s="1352"/>
      <c r="C102" s="1353" t="s">
        <v>111</v>
      </c>
      <c r="D102" s="1021"/>
      <c r="E102" s="1354"/>
      <c r="F102" s="1354"/>
      <c r="G102" s="1354"/>
      <c r="H102" s="1354"/>
      <c r="I102" s="1354"/>
      <c r="J102" s="1354"/>
      <c r="K102" s="1354"/>
      <c r="L102" s="1354"/>
      <c r="M102" s="1355"/>
      <c r="N102" s="3296" t="s">
        <v>123</v>
      </c>
      <c r="O102" s="636"/>
      <c r="R102" s="474"/>
    </row>
    <row r="103" spans="1:18" ht="13.5" hidden="1" customHeight="1">
      <c r="A103" s="3305"/>
      <c r="B103" s="1356" t="s">
        <v>10</v>
      </c>
      <c r="C103" s="1357"/>
      <c r="D103" s="927">
        <f>+D104+D107</f>
        <v>0</v>
      </c>
      <c r="E103" s="927">
        <v>0</v>
      </c>
      <c r="F103" s="927">
        <f t="shared" ref="F103" si="76">+F104+F107</f>
        <v>0</v>
      </c>
      <c r="G103" s="927"/>
      <c r="H103" s="927"/>
      <c r="I103" s="927"/>
      <c r="J103" s="927"/>
      <c r="K103" s="927"/>
      <c r="L103" s="927"/>
      <c r="M103" s="1358">
        <f>+M104+M107</f>
        <v>0</v>
      </c>
      <c r="N103" s="3296"/>
      <c r="O103" s="637" t="e">
        <f>+#REF!+#REF!+F103+G103</f>
        <v>#REF!</v>
      </c>
      <c r="P103" s="468"/>
      <c r="Q103" s="468"/>
      <c r="R103" s="468"/>
    </row>
    <row r="104" spans="1:18" ht="14.25" hidden="1" customHeight="1">
      <c r="A104" s="3305"/>
      <c r="B104" s="1359" t="s">
        <v>24</v>
      </c>
      <c r="C104" s="3310" t="s">
        <v>273</v>
      </c>
      <c r="D104" s="1039">
        <f>+D105+D106</f>
        <v>0</v>
      </c>
      <c r="E104" s="1039">
        <v>0</v>
      </c>
      <c r="F104" s="1039">
        <f t="shared" ref="F104" si="77">+F105+F106</f>
        <v>0</v>
      </c>
      <c r="G104" s="1039"/>
      <c r="H104" s="1039"/>
      <c r="I104" s="1039"/>
      <c r="J104" s="1039"/>
      <c r="K104" s="1039"/>
      <c r="L104" s="1039"/>
      <c r="M104" s="1031">
        <f>+M105+M106</f>
        <v>0</v>
      </c>
      <c r="N104" s="3296"/>
      <c r="O104" s="636"/>
    </row>
    <row r="105" spans="1:18" ht="13.5" hidden="1" customHeight="1">
      <c r="A105" s="3305"/>
      <c r="B105" s="1360" t="s">
        <v>12</v>
      </c>
      <c r="C105" s="3311"/>
      <c r="D105" s="280">
        <f>E105+F105+G105+H105+I105+J105+K105+L105</f>
        <v>0</v>
      </c>
      <c r="E105" s="999"/>
      <c r="F105" s="999">
        <v>0</v>
      </c>
      <c r="G105" s="999"/>
      <c r="H105" s="999"/>
      <c r="I105" s="999"/>
      <c r="J105" s="999"/>
      <c r="K105" s="999"/>
      <c r="L105" s="999"/>
      <c r="M105" s="1361">
        <f>SUM(F105:I105)</f>
        <v>0</v>
      </c>
      <c r="N105" s="3296"/>
      <c r="O105" s="636"/>
    </row>
    <row r="106" spans="1:18" ht="11.25" hidden="1" customHeight="1">
      <c r="A106" s="3305"/>
      <c r="B106" s="1360" t="s">
        <v>13</v>
      </c>
      <c r="C106" s="3311"/>
      <c r="D106" s="1362">
        <f>SUM(E106:F106)</f>
        <v>0</v>
      </c>
      <c r="E106" s="999"/>
      <c r="F106" s="999"/>
      <c r="G106" s="999"/>
      <c r="H106" s="999"/>
      <c r="I106" s="999"/>
      <c r="J106" s="999"/>
      <c r="K106" s="999"/>
      <c r="L106" s="999"/>
      <c r="M106" s="1361">
        <f>SUM(F106:H106)</f>
        <v>0</v>
      </c>
      <c r="N106" s="3296"/>
      <c r="O106" s="636"/>
    </row>
    <row r="107" spans="1:18" ht="13.5" hidden="1" customHeight="1">
      <c r="A107" s="3305"/>
      <c r="B107" s="1363" t="s">
        <v>18</v>
      </c>
      <c r="C107" s="3311"/>
      <c r="D107" s="1364">
        <f>+D108</f>
        <v>0</v>
      </c>
      <c r="E107" s="1364">
        <v>0</v>
      </c>
      <c r="F107" s="1364">
        <f t="shared" ref="F107" si="78">+F108</f>
        <v>0</v>
      </c>
      <c r="G107" s="1364"/>
      <c r="H107" s="1364"/>
      <c r="I107" s="1364"/>
      <c r="J107" s="1364"/>
      <c r="K107" s="1364"/>
      <c r="L107" s="1364"/>
      <c r="M107" s="1365">
        <f>+M108</f>
        <v>0</v>
      </c>
      <c r="N107" s="3296"/>
      <c r="O107" s="636"/>
    </row>
    <row r="108" spans="1:18" s="475" customFormat="1" ht="15" hidden="1" customHeight="1">
      <c r="A108" s="3305"/>
      <c r="B108" s="1402" t="s">
        <v>21</v>
      </c>
      <c r="C108" s="3311"/>
      <c r="D108" s="280">
        <f>E108+F108+G108+H108+I108+J108+K108+L108</f>
        <v>0</v>
      </c>
      <c r="E108" s="999"/>
      <c r="F108" s="999">
        <v>0</v>
      </c>
      <c r="G108" s="999"/>
      <c r="H108" s="999"/>
      <c r="I108" s="999"/>
      <c r="J108" s="999"/>
      <c r="K108" s="999"/>
      <c r="L108" s="999"/>
      <c r="M108" s="1361">
        <f>SUM(F108:I108)</f>
        <v>0</v>
      </c>
      <c r="N108" s="3296"/>
      <c r="O108" s="640"/>
    </row>
    <row r="109" spans="1:18" ht="13.5" hidden="1" customHeight="1">
      <c r="A109" s="3305"/>
      <c r="B109" s="1356" t="s">
        <v>22</v>
      </c>
      <c r="C109" s="1357"/>
      <c r="D109" s="1366">
        <f>+D110+D112</f>
        <v>0</v>
      </c>
      <c r="E109" s="1366">
        <v>0</v>
      </c>
      <c r="F109" s="1366">
        <f t="shared" ref="F109" si="79">+F110+F112</f>
        <v>0</v>
      </c>
      <c r="G109" s="1366"/>
      <c r="H109" s="1366"/>
      <c r="I109" s="1366"/>
      <c r="J109" s="1366"/>
      <c r="K109" s="1366"/>
      <c r="L109" s="1366"/>
      <c r="M109" s="3298" t="s">
        <v>61</v>
      </c>
      <c r="N109" s="3297"/>
      <c r="O109" s="636"/>
    </row>
    <row r="110" spans="1:18" ht="13.5" hidden="1" customHeight="1">
      <c r="A110" s="3305"/>
      <c r="B110" s="1359" t="s">
        <v>24</v>
      </c>
      <c r="C110" s="3315" t="s">
        <v>333</v>
      </c>
      <c r="D110" s="1364">
        <f>+D111</f>
        <v>0</v>
      </c>
      <c r="E110" s="1364">
        <v>0</v>
      </c>
      <c r="F110" s="1364">
        <f t="shared" ref="F110" si="80">+F111</f>
        <v>0</v>
      </c>
      <c r="G110" s="1364"/>
      <c r="H110" s="1364"/>
      <c r="I110" s="1364"/>
      <c r="J110" s="1364"/>
      <c r="K110" s="1364"/>
      <c r="L110" s="1364"/>
      <c r="M110" s="3298"/>
      <c r="N110" s="3297"/>
      <c r="O110" s="636"/>
    </row>
    <row r="111" spans="1:18" ht="11.25" hidden="1" customHeight="1">
      <c r="A111" s="3305"/>
      <c r="B111" s="1360" t="s">
        <v>13</v>
      </c>
      <c r="C111" s="3311"/>
      <c r="D111" s="1362">
        <f>SUM(E111:F111)</f>
        <v>0</v>
      </c>
      <c r="E111" s="999">
        <v>0</v>
      </c>
      <c r="F111" s="1362"/>
      <c r="G111" s="1362"/>
      <c r="H111" s="1362"/>
      <c r="I111" s="1362"/>
      <c r="J111" s="1362"/>
      <c r="K111" s="1362"/>
      <c r="L111" s="1362"/>
      <c r="M111" s="3298"/>
      <c r="N111" s="3297"/>
      <c r="O111" s="636"/>
    </row>
    <row r="112" spans="1:18" s="475" customFormat="1" ht="15" hidden="1" customHeight="1">
      <c r="A112" s="3305"/>
      <c r="B112" s="1504" t="s">
        <v>18</v>
      </c>
      <c r="C112" s="3316"/>
      <c r="D112" s="1364">
        <f>+D113</f>
        <v>0</v>
      </c>
      <c r="E112" s="1364">
        <v>0</v>
      </c>
      <c r="F112" s="1364">
        <f t="shared" ref="F112" si="81">+F113</f>
        <v>0</v>
      </c>
      <c r="G112" s="1364"/>
      <c r="H112" s="1364"/>
      <c r="I112" s="1364"/>
      <c r="J112" s="1364"/>
      <c r="K112" s="1364"/>
      <c r="L112" s="1364"/>
      <c r="M112" s="3298"/>
      <c r="N112" s="3297"/>
      <c r="O112" s="640"/>
    </row>
    <row r="113" spans="1:24" ht="13.5" hidden="1" customHeight="1">
      <c r="A113" s="3305"/>
      <c r="B113" s="1402" t="s">
        <v>21</v>
      </c>
      <c r="C113" s="3316"/>
      <c r="D113" s="280">
        <f>E113+F113+G113+H113+I113+J113+K113+L113</f>
        <v>0</v>
      </c>
      <c r="E113" s="999"/>
      <c r="F113" s="999">
        <v>0</v>
      </c>
      <c r="G113" s="999"/>
      <c r="H113" s="999"/>
      <c r="I113" s="999"/>
      <c r="J113" s="999"/>
      <c r="K113" s="999"/>
      <c r="L113" s="999"/>
      <c r="M113" s="3298"/>
      <c r="N113" s="3297"/>
      <c r="O113" s="636"/>
    </row>
    <row r="114" spans="1:24" hidden="1">
      <c r="A114" s="3305" t="s">
        <v>89</v>
      </c>
      <c r="B114" s="1352"/>
      <c r="C114" s="1353" t="s">
        <v>111</v>
      </c>
      <c r="D114" s="1021"/>
      <c r="E114" s="1354"/>
      <c r="F114" s="1354"/>
      <c r="G114" s="1354"/>
      <c r="H114" s="1354"/>
      <c r="I114" s="1354"/>
      <c r="J114" s="1354"/>
      <c r="K114" s="1354"/>
      <c r="L114" s="1354"/>
      <c r="M114" s="1355"/>
      <c r="N114" s="3296" t="s">
        <v>123</v>
      </c>
      <c r="O114" s="637"/>
      <c r="P114" s="468"/>
      <c r="Q114" s="468"/>
      <c r="R114" s="468"/>
      <c r="S114" s="468"/>
      <c r="T114" s="468"/>
      <c r="U114" s="468"/>
      <c r="V114" s="468"/>
      <c r="W114" s="468"/>
      <c r="X114" s="468"/>
    </row>
    <row r="115" spans="1:24" ht="13.5" hidden="1" customHeight="1">
      <c r="A115" s="3305"/>
      <c r="B115" s="1356" t="s">
        <v>10</v>
      </c>
      <c r="C115" s="1357"/>
      <c r="D115" s="927">
        <f t="shared" ref="D115" si="82">+D116+D119</f>
        <v>0</v>
      </c>
      <c r="E115" s="927">
        <v>0</v>
      </c>
      <c r="F115" s="927"/>
      <c r="G115" s="927"/>
      <c r="H115" s="927"/>
      <c r="I115" s="927"/>
      <c r="J115" s="927"/>
      <c r="K115" s="927"/>
      <c r="L115" s="927"/>
      <c r="M115" s="1358">
        <f>+M116+M119</f>
        <v>0</v>
      </c>
      <c r="N115" s="3296"/>
      <c r="O115" s="637" t="e">
        <f>+#REF!+#REF!+F115+G115</f>
        <v>#REF!</v>
      </c>
    </row>
    <row r="116" spans="1:24" ht="12.75" hidden="1" customHeight="1">
      <c r="A116" s="3305"/>
      <c r="B116" s="1359" t="s">
        <v>24</v>
      </c>
      <c r="C116" s="3310" t="s">
        <v>274</v>
      </c>
      <c r="D116" s="1039">
        <f t="shared" ref="D116" si="83">+D117+D118</f>
        <v>0</v>
      </c>
      <c r="E116" s="1039">
        <v>0</v>
      </c>
      <c r="F116" s="1039"/>
      <c r="G116" s="1039"/>
      <c r="H116" s="1039"/>
      <c r="I116" s="1039"/>
      <c r="J116" s="1039"/>
      <c r="K116" s="1039"/>
      <c r="L116" s="1039"/>
      <c r="M116" s="1031">
        <f>+M117+M118</f>
        <v>0</v>
      </c>
      <c r="N116" s="3296"/>
      <c r="O116" s="636"/>
    </row>
    <row r="117" spans="1:24" ht="13.5" hidden="1" customHeight="1">
      <c r="A117" s="3305"/>
      <c r="B117" s="1360" t="s">
        <v>12</v>
      </c>
      <c r="C117" s="3311"/>
      <c r="D117" s="280">
        <f>E117+F117+G117+H117+I117+J117+K117+L117</f>
        <v>0</v>
      </c>
      <c r="E117" s="999"/>
      <c r="F117" s="999"/>
      <c r="G117" s="999"/>
      <c r="H117" s="999"/>
      <c r="I117" s="999"/>
      <c r="J117" s="999"/>
      <c r="K117" s="999"/>
      <c r="L117" s="999"/>
      <c r="M117" s="1361"/>
      <c r="N117" s="3296"/>
      <c r="O117" s="636"/>
    </row>
    <row r="118" spans="1:24" ht="13.5" hidden="1" customHeight="1">
      <c r="A118" s="3305"/>
      <c r="B118" s="1360" t="s">
        <v>13</v>
      </c>
      <c r="C118" s="3311"/>
      <c r="D118" s="1362">
        <f>SUM(E118:G118)</f>
        <v>0</v>
      </c>
      <c r="E118" s="999">
        <v>0</v>
      </c>
      <c r="F118" s="999"/>
      <c r="G118" s="999"/>
      <c r="H118" s="999"/>
      <c r="I118" s="999"/>
      <c r="J118" s="999"/>
      <c r="K118" s="999"/>
      <c r="L118" s="999"/>
      <c r="M118" s="1361">
        <f>SUM(F118:H118)</f>
        <v>0</v>
      </c>
      <c r="N118" s="3296"/>
      <c r="O118" s="636"/>
    </row>
    <row r="119" spans="1:24" ht="12.75" hidden="1" customHeight="1">
      <c r="A119" s="3305"/>
      <c r="B119" s="1363" t="s">
        <v>18</v>
      </c>
      <c r="C119" s="3311"/>
      <c r="D119" s="1364">
        <f>+D120</f>
        <v>0</v>
      </c>
      <c r="E119" s="1364">
        <v>0</v>
      </c>
      <c r="F119" s="1364"/>
      <c r="G119" s="1364"/>
      <c r="H119" s="1364"/>
      <c r="I119" s="1364"/>
      <c r="J119" s="1364"/>
      <c r="K119" s="1364"/>
      <c r="L119" s="1364"/>
      <c r="M119" s="1365">
        <f t="shared" ref="M119" si="84">+M120</f>
        <v>0</v>
      </c>
      <c r="N119" s="3296"/>
      <c r="O119" s="636"/>
    </row>
    <row r="120" spans="1:24" ht="12" hidden="1" customHeight="1">
      <c r="A120" s="3305"/>
      <c r="B120" s="1360" t="s">
        <v>21</v>
      </c>
      <c r="C120" s="3311"/>
      <c r="D120" s="1362">
        <f>SUM(E120:G120)</f>
        <v>0</v>
      </c>
      <c r="E120" s="999">
        <v>0</v>
      </c>
      <c r="F120" s="999"/>
      <c r="G120" s="999"/>
      <c r="H120" s="999"/>
      <c r="I120" s="999"/>
      <c r="J120" s="999"/>
      <c r="K120" s="999"/>
      <c r="L120" s="999"/>
      <c r="M120" s="1361">
        <f>SUM(F120:H120)</f>
        <v>0</v>
      </c>
      <c r="N120" s="3296"/>
      <c r="O120" s="636"/>
    </row>
    <row r="121" spans="1:24" ht="10.5" hidden="1" customHeight="1">
      <c r="A121" s="3305"/>
      <c r="B121" s="1356" t="s">
        <v>22</v>
      </c>
      <c r="C121" s="1357"/>
      <c r="D121" s="1366">
        <f t="shared" ref="D121" si="85">+D122+D124</f>
        <v>0</v>
      </c>
      <c r="E121" s="1366">
        <v>0</v>
      </c>
      <c r="F121" s="1366"/>
      <c r="G121" s="1366"/>
      <c r="H121" s="1366"/>
      <c r="I121" s="1366"/>
      <c r="J121" s="1366"/>
      <c r="K121" s="1366"/>
      <c r="L121" s="1366"/>
      <c r="M121" s="3298" t="s">
        <v>61</v>
      </c>
      <c r="N121" s="3296"/>
      <c r="O121" s="636"/>
    </row>
    <row r="122" spans="1:24" ht="13.5" hidden="1" customHeight="1">
      <c r="A122" s="3305"/>
      <c r="B122" s="1359" t="s">
        <v>24</v>
      </c>
      <c r="C122" s="3315" t="s">
        <v>273</v>
      </c>
      <c r="D122" s="1364">
        <f t="shared" ref="D122" si="86">+D123</f>
        <v>0</v>
      </c>
      <c r="E122" s="1364">
        <v>0</v>
      </c>
      <c r="F122" s="1364"/>
      <c r="G122" s="1364"/>
      <c r="H122" s="1364"/>
      <c r="I122" s="1364"/>
      <c r="J122" s="1364"/>
      <c r="K122" s="1364"/>
      <c r="L122" s="1364"/>
      <c r="M122" s="3298"/>
      <c r="N122" s="3296"/>
      <c r="O122" s="636"/>
    </row>
    <row r="123" spans="1:24" ht="11.25" hidden="1" customHeight="1">
      <c r="A123" s="3305"/>
      <c r="B123" s="1360" t="s">
        <v>13</v>
      </c>
      <c r="C123" s="3311"/>
      <c r="D123" s="1362">
        <f>SUM(E123:G123)</f>
        <v>0</v>
      </c>
      <c r="E123" s="999">
        <v>0</v>
      </c>
      <c r="F123" s="1362"/>
      <c r="G123" s="1362"/>
      <c r="H123" s="1362"/>
      <c r="I123" s="1362"/>
      <c r="J123" s="1362"/>
      <c r="K123" s="1362"/>
      <c r="L123" s="1362"/>
      <c r="M123" s="3298"/>
      <c r="N123" s="3296"/>
      <c r="O123" s="636"/>
    </row>
    <row r="124" spans="1:24" ht="12" hidden="1" customHeight="1">
      <c r="A124" s="3305"/>
      <c r="B124" s="1363" t="s">
        <v>18</v>
      </c>
      <c r="C124" s="3316"/>
      <c r="D124" s="1364">
        <f t="shared" ref="D124" si="87">+D125</f>
        <v>0</v>
      </c>
      <c r="E124" s="1364">
        <v>0</v>
      </c>
      <c r="F124" s="1364"/>
      <c r="G124" s="1364"/>
      <c r="H124" s="1364"/>
      <c r="I124" s="1364"/>
      <c r="J124" s="1364"/>
      <c r="K124" s="1364"/>
      <c r="L124" s="1364"/>
      <c r="M124" s="3298"/>
      <c r="N124" s="3296"/>
      <c r="O124" s="636"/>
    </row>
    <row r="125" spans="1:24" ht="12.75" hidden="1" customHeight="1">
      <c r="A125" s="3305"/>
      <c r="B125" s="945" t="s">
        <v>21</v>
      </c>
      <c r="C125" s="3316"/>
      <c r="D125" s="1362">
        <f>SUM(E125:G125)</f>
        <v>0</v>
      </c>
      <c r="E125" s="999">
        <v>0</v>
      </c>
      <c r="F125" s="999"/>
      <c r="G125" s="999"/>
      <c r="H125" s="999"/>
      <c r="I125" s="999"/>
      <c r="J125" s="999"/>
      <c r="K125" s="999"/>
      <c r="L125" s="999"/>
      <c r="M125" s="3298"/>
      <c r="N125" s="3296"/>
      <c r="O125" s="636"/>
    </row>
    <row r="126" spans="1:24" ht="22.9" hidden="1" customHeight="1">
      <c r="A126" s="3305" t="s">
        <v>117</v>
      </c>
      <c r="B126" s="1352"/>
      <c r="C126" s="1353" t="s">
        <v>111</v>
      </c>
      <c r="D126" s="1021"/>
      <c r="E126" s="1354"/>
      <c r="F126" s="1354"/>
      <c r="G126" s="1354"/>
      <c r="H126" s="1354"/>
      <c r="I126" s="1354"/>
      <c r="J126" s="1354"/>
      <c r="K126" s="1354"/>
      <c r="L126" s="1354"/>
      <c r="M126" s="1355"/>
      <c r="N126" s="3296" t="s">
        <v>123</v>
      </c>
      <c r="O126" s="637"/>
      <c r="P126" s="468"/>
    </row>
    <row r="127" spans="1:24" ht="23.45" hidden="1" customHeight="1">
      <c r="A127" s="3305"/>
      <c r="B127" s="1356" t="s">
        <v>10</v>
      </c>
      <c r="C127" s="1357"/>
      <c r="D127" s="927">
        <f t="shared" ref="D127" si="88">+D128+D131</f>
        <v>0</v>
      </c>
      <c r="E127" s="927">
        <v>0</v>
      </c>
      <c r="F127" s="927"/>
      <c r="G127" s="927"/>
      <c r="H127" s="927"/>
      <c r="I127" s="927"/>
      <c r="J127" s="927"/>
      <c r="K127" s="927"/>
      <c r="L127" s="927"/>
      <c r="M127" s="1358">
        <f>+M128+M131</f>
        <v>0</v>
      </c>
      <c r="N127" s="3296"/>
      <c r="O127" s="637" t="e">
        <f>+#REF!+#REF!+F127+G127</f>
        <v>#REF!</v>
      </c>
    </row>
    <row r="128" spans="1:24" ht="23.45" hidden="1" customHeight="1">
      <c r="A128" s="3305"/>
      <c r="B128" s="1359" t="s">
        <v>24</v>
      </c>
      <c r="C128" s="3310" t="s">
        <v>273</v>
      </c>
      <c r="D128" s="1039">
        <f t="shared" ref="D128" si="89">+D129+D130</f>
        <v>0</v>
      </c>
      <c r="E128" s="1039">
        <v>0</v>
      </c>
      <c r="F128" s="1039"/>
      <c r="G128" s="1039"/>
      <c r="H128" s="1039"/>
      <c r="I128" s="1039"/>
      <c r="J128" s="1039"/>
      <c r="K128" s="1039"/>
      <c r="L128" s="1039"/>
      <c r="M128" s="1031">
        <f>+M129+M130</f>
        <v>0</v>
      </c>
      <c r="N128" s="3296"/>
      <c r="O128" s="636"/>
    </row>
    <row r="129" spans="1:15" ht="22.9" hidden="1" customHeight="1">
      <c r="A129" s="3305"/>
      <c r="B129" s="1360" t="s">
        <v>12</v>
      </c>
      <c r="C129" s="3311"/>
      <c r="D129" s="280">
        <f>E129+F129+G129+H129+I129+J129+K129+L129</f>
        <v>0</v>
      </c>
      <c r="E129" s="999"/>
      <c r="F129" s="999"/>
      <c r="G129" s="999"/>
      <c r="H129" s="999"/>
      <c r="I129" s="999"/>
      <c r="J129" s="999"/>
      <c r="K129" s="999"/>
      <c r="L129" s="999"/>
      <c r="M129" s="1361">
        <f>SUM(F129:I129)</f>
        <v>0</v>
      </c>
      <c r="N129" s="3296"/>
      <c r="O129" s="636"/>
    </row>
    <row r="130" spans="1:15" ht="22.9" hidden="1" customHeight="1">
      <c r="A130" s="3305"/>
      <c r="B130" s="1360" t="s">
        <v>13</v>
      </c>
      <c r="C130" s="3311"/>
      <c r="D130" s="280">
        <f>E130+F130+G130+H130+I130+J130+K130+L130</f>
        <v>0</v>
      </c>
      <c r="E130" s="999"/>
      <c r="F130" s="999"/>
      <c r="G130" s="999"/>
      <c r="H130" s="999"/>
      <c r="I130" s="999"/>
      <c r="J130" s="999"/>
      <c r="K130" s="999"/>
      <c r="L130" s="999"/>
      <c r="M130" s="1361">
        <f>SUM(F130:G130)</f>
        <v>0</v>
      </c>
      <c r="N130" s="3296"/>
      <c r="O130" s="637"/>
    </row>
    <row r="131" spans="1:15" ht="22.9" hidden="1" customHeight="1">
      <c r="A131" s="3305"/>
      <c r="B131" s="1363" t="s">
        <v>18</v>
      </c>
      <c r="C131" s="3311"/>
      <c r="D131" s="1364">
        <f>+D132</f>
        <v>0</v>
      </c>
      <c r="E131" s="1364">
        <v>0</v>
      </c>
      <c r="F131" s="1364"/>
      <c r="G131" s="1364"/>
      <c r="H131" s="1364"/>
      <c r="I131" s="1364"/>
      <c r="J131" s="1364"/>
      <c r="K131" s="1364"/>
      <c r="L131" s="1364"/>
      <c r="M131" s="1365">
        <f t="shared" ref="M131" si="90">+M132</f>
        <v>0</v>
      </c>
      <c r="N131" s="3296"/>
      <c r="O131" s="636"/>
    </row>
    <row r="132" spans="1:15" ht="22.15" hidden="1" customHeight="1">
      <c r="A132" s="3305"/>
      <c r="B132" s="1360" t="s">
        <v>21</v>
      </c>
      <c r="C132" s="3311"/>
      <c r="D132" s="280">
        <f>E132+F132+G132+H132+I132+J132+K132+L132</f>
        <v>0</v>
      </c>
      <c r="E132" s="999"/>
      <c r="F132" s="999"/>
      <c r="G132" s="999"/>
      <c r="H132" s="999"/>
      <c r="I132" s="999"/>
      <c r="J132" s="999"/>
      <c r="K132" s="999"/>
      <c r="L132" s="999"/>
      <c r="M132" s="1361">
        <f>SUM(F132:I132)</f>
        <v>0</v>
      </c>
      <c r="N132" s="3296"/>
      <c r="O132" s="636"/>
    </row>
    <row r="133" spans="1:15" ht="21.6" hidden="1" customHeight="1">
      <c r="A133" s="3305"/>
      <c r="B133" s="1356" t="s">
        <v>22</v>
      </c>
      <c r="C133" s="1357"/>
      <c r="D133" s="1366">
        <f t="shared" ref="D133" si="91">+D134+D136</f>
        <v>0</v>
      </c>
      <c r="E133" s="1366">
        <v>0</v>
      </c>
      <c r="F133" s="1366"/>
      <c r="G133" s="1366"/>
      <c r="H133" s="1366"/>
      <c r="I133" s="1366"/>
      <c r="J133" s="1366"/>
      <c r="K133" s="1366"/>
      <c r="L133" s="1366"/>
      <c r="M133" s="3298" t="s">
        <v>61</v>
      </c>
      <c r="N133" s="3308"/>
      <c r="O133" s="636"/>
    </row>
    <row r="134" spans="1:15" ht="21" hidden="1" customHeight="1">
      <c r="A134" s="3305"/>
      <c r="B134" s="1359" t="s">
        <v>24</v>
      </c>
      <c r="C134" s="3315" t="s">
        <v>273</v>
      </c>
      <c r="D134" s="1364">
        <f t="shared" ref="D134" si="92">+D135</f>
        <v>0</v>
      </c>
      <c r="E134" s="1364">
        <v>0</v>
      </c>
      <c r="F134" s="1364"/>
      <c r="G134" s="1364"/>
      <c r="H134" s="1364"/>
      <c r="I134" s="1364"/>
      <c r="J134" s="1364"/>
      <c r="K134" s="1364"/>
      <c r="L134" s="1364"/>
      <c r="M134" s="3298"/>
      <c r="N134" s="3308"/>
      <c r="O134" s="636"/>
    </row>
    <row r="135" spans="1:15" ht="21" hidden="1" customHeight="1">
      <c r="A135" s="3305"/>
      <c r="B135" s="1360" t="s">
        <v>13</v>
      </c>
      <c r="C135" s="3311"/>
      <c r="D135" s="280">
        <f>E135+F135+G135+H135+I135+J135+K135+L135</f>
        <v>0</v>
      </c>
      <c r="E135" s="999"/>
      <c r="F135" s="1362"/>
      <c r="G135" s="1362"/>
      <c r="H135" s="1362"/>
      <c r="I135" s="1362"/>
      <c r="J135" s="1362"/>
      <c r="K135" s="1362"/>
      <c r="L135" s="1362"/>
      <c r="M135" s="3298"/>
      <c r="N135" s="3308"/>
      <c r="O135" s="636"/>
    </row>
    <row r="136" spans="1:15" ht="36.6" hidden="1" customHeight="1">
      <c r="A136" s="3305"/>
      <c r="B136" s="1363" t="s">
        <v>18</v>
      </c>
      <c r="C136" s="3316"/>
      <c r="D136" s="1364">
        <f t="shared" ref="D136" si="93">+D137</f>
        <v>0</v>
      </c>
      <c r="E136" s="1364">
        <v>0</v>
      </c>
      <c r="F136" s="1364"/>
      <c r="G136" s="1364"/>
      <c r="H136" s="1364"/>
      <c r="I136" s="1364"/>
      <c r="J136" s="1364"/>
      <c r="K136" s="1364"/>
      <c r="L136" s="1364"/>
      <c r="M136" s="3298"/>
      <c r="N136" s="3308"/>
      <c r="O136" s="636"/>
    </row>
    <row r="137" spans="1:15" ht="18" hidden="1" customHeight="1">
      <c r="A137" s="3305"/>
      <c r="B137" s="1505" t="s">
        <v>21</v>
      </c>
      <c r="C137" s="3316"/>
      <c r="D137" s="280">
        <f>E137+F137+G137+H137+I137+J137+K137+L137</f>
        <v>0</v>
      </c>
      <c r="E137" s="999"/>
      <c r="F137" s="999"/>
      <c r="G137" s="999"/>
      <c r="H137" s="999"/>
      <c r="I137" s="999"/>
      <c r="J137" s="999"/>
      <c r="K137" s="999"/>
      <c r="L137" s="999"/>
      <c r="M137" s="3298"/>
      <c r="N137" s="3308"/>
      <c r="O137" s="636"/>
    </row>
    <row r="138" spans="1:15" ht="18" hidden="1" customHeight="1">
      <c r="A138" s="3305" t="s">
        <v>91</v>
      </c>
      <c r="B138" s="1352"/>
      <c r="C138" s="1353"/>
      <c r="D138" s="1021"/>
      <c r="E138" s="1354"/>
      <c r="F138" s="1354"/>
      <c r="G138" s="1354"/>
      <c r="H138" s="1354"/>
      <c r="I138" s="1354"/>
      <c r="J138" s="1354"/>
      <c r="K138" s="1354"/>
      <c r="L138" s="1354"/>
      <c r="M138" s="1355"/>
      <c r="N138" s="3296" t="s">
        <v>123</v>
      </c>
      <c r="O138" s="636"/>
    </row>
    <row r="139" spans="1:15" ht="19.149999999999999" hidden="1" customHeight="1">
      <c r="A139" s="3305"/>
      <c r="B139" s="1356" t="s">
        <v>10</v>
      </c>
      <c r="C139" s="1357"/>
      <c r="D139" s="927">
        <f t="shared" ref="D139" si="94">+D140+D143</f>
        <v>0</v>
      </c>
      <c r="E139" s="927">
        <v>0</v>
      </c>
      <c r="F139" s="927"/>
      <c r="G139" s="927"/>
      <c r="H139" s="927"/>
      <c r="I139" s="927"/>
      <c r="J139" s="927"/>
      <c r="K139" s="927"/>
      <c r="L139" s="927"/>
      <c r="M139" s="1358">
        <f>+M140+M143</f>
        <v>0</v>
      </c>
      <c r="N139" s="3296"/>
      <c r="O139" s="637" t="e">
        <f>+#REF!+#REF!+F139+G139</f>
        <v>#REF!</v>
      </c>
    </row>
    <row r="140" spans="1:15" ht="19.149999999999999" hidden="1" customHeight="1">
      <c r="A140" s="3305"/>
      <c r="B140" s="1359" t="s">
        <v>24</v>
      </c>
      <c r="C140" s="3310" t="s">
        <v>273</v>
      </c>
      <c r="D140" s="1039">
        <f t="shared" ref="D140" si="95">+D141+D142</f>
        <v>0</v>
      </c>
      <c r="E140" s="1039">
        <v>0</v>
      </c>
      <c r="F140" s="1039"/>
      <c r="G140" s="1039"/>
      <c r="H140" s="1039"/>
      <c r="I140" s="1039"/>
      <c r="J140" s="1039"/>
      <c r="K140" s="1039"/>
      <c r="L140" s="1039"/>
      <c r="M140" s="1031">
        <f>+M141+M142</f>
        <v>0</v>
      </c>
      <c r="N140" s="3296"/>
      <c r="O140" s="636"/>
    </row>
    <row r="141" spans="1:15" ht="20.45" hidden="1" customHeight="1">
      <c r="A141" s="3305"/>
      <c r="B141" s="1360" t="s">
        <v>12</v>
      </c>
      <c r="C141" s="3311"/>
      <c r="D141" s="1362">
        <f>SUM(E141:G141)</f>
        <v>0</v>
      </c>
      <c r="E141" s="999">
        <v>0</v>
      </c>
      <c r="F141" s="999"/>
      <c r="G141" s="999"/>
      <c r="H141" s="999"/>
      <c r="I141" s="999"/>
      <c r="J141" s="999"/>
      <c r="K141" s="999"/>
      <c r="L141" s="999"/>
      <c r="M141" s="1361">
        <f>SUM(F141:H141)</f>
        <v>0</v>
      </c>
      <c r="N141" s="3296"/>
      <c r="O141" s="636"/>
    </row>
    <row r="142" spans="1:15" ht="18.600000000000001" hidden="1" customHeight="1">
      <c r="A142" s="3305"/>
      <c r="B142" s="1360" t="s">
        <v>13</v>
      </c>
      <c r="C142" s="3311"/>
      <c r="D142" s="280">
        <f>E142+F142+G142+H142+I142+J142+K142+L142</f>
        <v>0</v>
      </c>
      <c r="E142" s="999"/>
      <c r="F142" s="999"/>
      <c r="G142" s="999"/>
      <c r="H142" s="999"/>
      <c r="I142" s="999"/>
      <c r="J142" s="999"/>
      <c r="K142" s="999"/>
      <c r="L142" s="999"/>
      <c r="M142" s="1361">
        <f>SUM(F142:G142)</f>
        <v>0</v>
      </c>
      <c r="N142" s="3296"/>
      <c r="O142" s="636"/>
    </row>
    <row r="143" spans="1:15" ht="18" hidden="1" customHeight="1">
      <c r="A143" s="3305"/>
      <c r="B143" s="1363" t="s">
        <v>18</v>
      </c>
      <c r="C143" s="3311"/>
      <c r="D143" s="1364">
        <f>+D144</f>
        <v>0</v>
      </c>
      <c r="E143" s="1364">
        <v>0</v>
      </c>
      <c r="F143" s="1364"/>
      <c r="G143" s="1364"/>
      <c r="H143" s="1364"/>
      <c r="I143" s="1364"/>
      <c r="J143" s="1364"/>
      <c r="K143" s="1364"/>
      <c r="L143" s="1364"/>
      <c r="M143" s="1365">
        <f t="shared" ref="M143" si="96">+M144</f>
        <v>0</v>
      </c>
      <c r="N143" s="3296"/>
      <c r="O143" s="636"/>
    </row>
    <row r="144" spans="1:15" ht="16.149999999999999" hidden="1" customHeight="1">
      <c r="A144" s="3305"/>
      <c r="B144" s="1360" t="s">
        <v>21</v>
      </c>
      <c r="C144" s="3311"/>
      <c r="D144" s="1362">
        <f>SUM(E144:G144)</f>
        <v>0</v>
      </c>
      <c r="E144" s="999">
        <v>0</v>
      </c>
      <c r="F144" s="999"/>
      <c r="G144" s="999"/>
      <c r="H144" s="999"/>
      <c r="I144" s="999"/>
      <c r="J144" s="999"/>
      <c r="K144" s="999"/>
      <c r="L144" s="999"/>
      <c r="M144" s="1361">
        <f>SUM(F144:H144)</f>
        <v>0</v>
      </c>
      <c r="N144" s="3296"/>
      <c r="O144" s="636"/>
    </row>
    <row r="145" spans="1:15" ht="22.15" hidden="1" customHeight="1">
      <c r="A145" s="3305"/>
      <c r="B145" s="1356" t="s">
        <v>22</v>
      </c>
      <c r="C145" s="1357"/>
      <c r="D145" s="1366">
        <f t="shared" ref="D145" si="97">+D146+D148</f>
        <v>0</v>
      </c>
      <c r="E145" s="1366">
        <v>0</v>
      </c>
      <c r="F145" s="1366"/>
      <c r="G145" s="1366"/>
      <c r="H145" s="1366"/>
      <c r="I145" s="1366"/>
      <c r="J145" s="1366"/>
      <c r="K145" s="1366"/>
      <c r="L145" s="1366"/>
      <c r="M145" s="3298" t="s">
        <v>61</v>
      </c>
      <c r="N145" s="3308"/>
      <c r="O145" s="636"/>
    </row>
    <row r="146" spans="1:15" ht="22.15" hidden="1" customHeight="1">
      <c r="A146" s="3305"/>
      <c r="B146" s="1359" t="s">
        <v>24</v>
      </c>
      <c r="C146" s="3315" t="s">
        <v>274</v>
      </c>
      <c r="D146" s="1364">
        <f t="shared" ref="D146" si="98">+D147</f>
        <v>0</v>
      </c>
      <c r="E146" s="1364">
        <v>0</v>
      </c>
      <c r="F146" s="1364"/>
      <c r="G146" s="1364"/>
      <c r="H146" s="1364"/>
      <c r="I146" s="1364"/>
      <c r="J146" s="1364"/>
      <c r="K146" s="1364"/>
      <c r="L146" s="1364"/>
      <c r="M146" s="3298"/>
      <c r="N146" s="3308"/>
      <c r="O146" s="636"/>
    </row>
    <row r="147" spans="1:15" ht="21" hidden="1" customHeight="1">
      <c r="A147" s="3305"/>
      <c r="B147" s="1360" t="s">
        <v>13</v>
      </c>
      <c r="C147" s="3311"/>
      <c r="D147" s="280">
        <f>E147+F147+G147+H147+I147+J147+K147+L147</f>
        <v>0</v>
      </c>
      <c r="E147" s="1362">
        <v>0</v>
      </c>
      <c r="F147" s="1362"/>
      <c r="G147" s="1362"/>
      <c r="H147" s="1362"/>
      <c r="I147" s="1362"/>
      <c r="J147" s="1362"/>
      <c r="K147" s="1362"/>
      <c r="L147" s="1362"/>
      <c r="M147" s="3298"/>
      <c r="N147" s="3308"/>
      <c r="O147" s="636"/>
    </row>
    <row r="148" spans="1:15" ht="20.45" hidden="1" customHeight="1">
      <c r="A148" s="3305"/>
      <c r="B148" s="1363" t="s">
        <v>18</v>
      </c>
      <c r="C148" s="3316"/>
      <c r="D148" s="1364">
        <f t="shared" ref="D148" si="99">+D149</f>
        <v>0</v>
      </c>
      <c r="E148" s="1364">
        <v>0</v>
      </c>
      <c r="F148" s="1364"/>
      <c r="G148" s="1364"/>
      <c r="H148" s="1364"/>
      <c r="I148" s="1364"/>
      <c r="J148" s="1364"/>
      <c r="K148" s="1364"/>
      <c r="L148" s="1364"/>
      <c r="M148" s="3298"/>
      <c r="N148" s="3308"/>
      <c r="O148" s="636"/>
    </row>
    <row r="149" spans="1:15" ht="0.6" customHeight="1">
      <c r="A149" s="3305"/>
      <c r="B149" s="1402" t="s">
        <v>21</v>
      </c>
      <c r="C149" s="3316"/>
      <c r="D149" s="1362">
        <f>SUM(E149:G149)</f>
        <v>0</v>
      </c>
      <c r="E149" s="999">
        <v>0</v>
      </c>
      <c r="F149" s="999"/>
      <c r="G149" s="999"/>
      <c r="H149" s="999"/>
      <c r="I149" s="999"/>
      <c r="J149" s="999"/>
      <c r="K149" s="999"/>
      <c r="L149" s="999"/>
      <c r="M149" s="3298"/>
      <c r="N149" s="3308"/>
      <c r="O149" s="636"/>
    </row>
    <row r="150" spans="1:15" ht="24.75" customHeight="1">
      <c r="A150" s="3354" t="s">
        <v>65</v>
      </c>
      <c r="B150" s="2863" t="s">
        <v>400</v>
      </c>
      <c r="C150" s="2864" t="s">
        <v>111</v>
      </c>
      <c r="D150" s="2865"/>
      <c r="E150" s="2866"/>
      <c r="F150" s="2866"/>
      <c r="G150" s="2866"/>
      <c r="H150" s="2866"/>
      <c r="I150" s="2866"/>
      <c r="J150" s="2866"/>
      <c r="K150" s="2866"/>
      <c r="L150" s="2866"/>
      <c r="M150" s="2867"/>
      <c r="N150" s="3285" t="s">
        <v>357</v>
      </c>
      <c r="O150" s="636"/>
    </row>
    <row r="151" spans="1:15" ht="12" customHeight="1">
      <c r="A151" s="3354"/>
      <c r="B151" s="2846" t="s">
        <v>10</v>
      </c>
      <c r="C151" s="2861"/>
      <c r="D151" s="2848">
        <f t="shared" ref="D151:I151" si="100">+D152+D155</f>
        <v>9546263</v>
      </c>
      <c r="E151" s="2848">
        <f t="shared" ref="E151" si="101">+E152+E155</f>
        <v>1741141</v>
      </c>
      <c r="F151" s="2848">
        <f t="shared" si="100"/>
        <v>1644518</v>
      </c>
      <c r="G151" s="2848">
        <f t="shared" si="100"/>
        <v>1651824</v>
      </c>
      <c r="H151" s="2848">
        <f t="shared" si="100"/>
        <v>2254390</v>
      </c>
      <c r="I151" s="2848">
        <f t="shared" si="100"/>
        <v>2254390</v>
      </c>
      <c r="J151" s="2848"/>
      <c r="K151" s="2848"/>
      <c r="L151" s="2848"/>
      <c r="M151" s="2849">
        <f>+M152+M155</f>
        <v>7805122</v>
      </c>
      <c r="N151" s="3285"/>
      <c r="O151" s="636"/>
    </row>
    <row r="152" spans="1:15" ht="12" customHeight="1">
      <c r="A152" s="3354"/>
      <c r="B152" s="2850" t="s">
        <v>24</v>
      </c>
      <c r="C152" s="3356" t="s">
        <v>124</v>
      </c>
      <c r="D152" s="2851">
        <f t="shared" ref="D152:I152" si="102">+D153+D154</f>
        <v>1500673</v>
      </c>
      <c r="E152" s="2851">
        <f t="shared" ref="E152" si="103">+E153+E154</f>
        <v>273708</v>
      </c>
      <c r="F152" s="2851">
        <f t="shared" si="102"/>
        <v>258518</v>
      </c>
      <c r="G152" s="2851">
        <f t="shared" si="102"/>
        <v>259667</v>
      </c>
      <c r="H152" s="2851">
        <f t="shared" si="102"/>
        <v>354390</v>
      </c>
      <c r="I152" s="2851">
        <f t="shared" si="102"/>
        <v>354390</v>
      </c>
      <c r="J152" s="2851"/>
      <c r="K152" s="2851"/>
      <c r="L152" s="2851"/>
      <c r="M152" s="2824">
        <f>+M153+M154</f>
        <v>1226965</v>
      </c>
      <c r="N152" s="3285"/>
      <c r="O152" s="636"/>
    </row>
    <row r="153" spans="1:15" ht="12" customHeight="1">
      <c r="A153" s="3354"/>
      <c r="B153" s="2853" t="s">
        <v>12</v>
      </c>
      <c r="C153" s="3357"/>
      <c r="D153" s="2819">
        <f>E153+F153+G153+H153+I153+J153+K153+L153</f>
        <v>1500673</v>
      </c>
      <c r="E153" s="2854">
        <v>273708</v>
      </c>
      <c r="F153" s="2856">
        <f>219137+39195+186</f>
        <v>258518</v>
      </c>
      <c r="G153" s="2856">
        <f>219137+40716-186</f>
        <v>259667</v>
      </c>
      <c r="H153" s="2856">
        <v>354390</v>
      </c>
      <c r="I153" s="2856">
        <v>354390</v>
      </c>
      <c r="J153" s="2856"/>
      <c r="K153" s="2856"/>
      <c r="L153" s="2856"/>
      <c r="M153" s="2857">
        <f>SUM(F153:L153)</f>
        <v>1226965</v>
      </c>
      <c r="N153" s="3285"/>
      <c r="O153" s="636"/>
    </row>
    <row r="154" spans="1:15" ht="12" customHeight="1">
      <c r="A154" s="3354"/>
      <c r="B154" s="2853" t="s">
        <v>13</v>
      </c>
      <c r="C154" s="3357"/>
      <c r="D154" s="2858"/>
      <c r="E154" s="2856"/>
      <c r="F154" s="2856"/>
      <c r="G154" s="2856"/>
      <c r="H154" s="2856"/>
      <c r="I154" s="2856"/>
      <c r="J154" s="2856"/>
      <c r="K154" s="2856"/>
      <c r="L154" s="2856"/>
      <c r="M154" s="2857">
        <f>SUM(F154:G154)</f>
        <v>0</v>
      </c>
      <c r="N154" s="3285"/>
      <c r="O154" s="636"/>
    </row>
    <row r="155" spans="1:15" ht="12" customHeight="1">
      <c r="A155" s="3354"/>
      <c r="B155" s="2868" t="s">
        <v>18</v>
      </c>
      <c r="C155" s="3357"/>
      <c r="D155" s="2859">
        <f>+D156</f>
        <v>8045590</v>
      </c>
      <c r="E155" s="2859">
        <f t="shared" ref="E155:I155" si="104">+E156</f>
        <v>1467433</v>
      </c>
      <c r="F155" s="2859">
        <f t="shared" si="104"/>
        <v>1386000</v>
      </c>
      <c r="G155" s="2859">
        <f t="shared" si="104"/>
        <v>1392157</v>
      </c>
      <c r="H155" s="2859">
        <f t="shared" si="104"/>
        <v>1900000</v>
      </c>
      <c r="I155" s="2859">
        <f t="shared" si="104"/>
        <v>1900000</v>
      </c>
      <c r="J155" s="2859"/>
      <c r="K155" s="2859"/>
      <c r="L155" s="2859"/>
      <c r="M155" s="2869">
        <f>+M156</f>
        <v>6578157</v>
      </c>
      <c r="N155" s="3285"/>
      <c r="O155" s="636"/>
    </row>
    <row r="156" spans="1:15" ht="11.25" customHeight="1">
      <c r="A156" s="3354"/>
      <c r="B156" s="2853" t="s">
        <v>21</v>
      </c>
      <c r="C156" s="3357"/>
      <c r="D156" s="2819">
        <f>E156+F156+G156+H156+I156+J156+K156+L156</f>
        <v>8045590</v>
      </c>
      <c r="E156" s="2854">
        <v>1467433</v>
      </c>
      <c r="F156" s="2856">
        <f>1174863+210137+1000</f>
        <v>1386000</v>
      </c>
      <c r="G156" s="2856">
        <f>1174863+218294-1000</f>
        <v>1392157</v>
      </c>
      <c r="H156" s="2856">
        <v>1900000</v>
      </c>
      <c r="I156" s="2856">
        <v>1900000</v>
      </c>
      <c r="J156" s="2856"/>
      <c r="K156" s="2856"/>
      <c r="L156" s="2856"/>
      <c r="M156" s="2857">
        <f>SUM(F156:L156)</f>
        <v>6578157</v>
      </c>
      <c r="N156" s="3285"/>
      <c r="O156" s="636"/>
    </row>
    <row r="157" spans="1:15">
      <c r="A157" s="3354"/>
      <c r="B157" s="2846" t="s">
        <v>22</v>
      </c>
      <c r="C157" s="2861"/>
      <c r="D157" s="2862">
        <f t="shared" ref="D157" si="105">+D158+D160</f>
        <v>8045590</v>
      </c>
      <c r="E157" s="2862">
        <f t="shared" ref="E157" si="106">+E158+E160</f>
        <v>1467433</v>
      </c>
      <c r="F157" s="2862">
        <f>+F158+F160</f>
        <v>1386000</v>
      </c>
      <c r="G157" s="2862">
        <f>+G158+G160</f>
        <v>1392157</v>
      </c>
      <c r="H157" s="2862">
        <f t="shared" ref="H157:I157" si="107">+H158+H160</f>
        <v>1900000</v>
      </c>
      <c r="I157" s="2862">
        <f t="shared" si="107"/>
        <v>1900000</v>
      </c>
      <c r="J157" s="2862"/>
      <c r="K157" s="2862"/>
      <c r="L157" s="2862"/>
      <c r="M157" s="3290" t="s">
        <v>61</v>
      </c>
      <c r="N157" s="3355"/>
      <c r="O157" s="2765">
        <f>'[1]Tab. 6B Polit społ i rozwój prz'!$M$162+'[1]Tab. 6B Polit społ i rozwój prz'!$P$162-E157</f>
        <v>0</v>
      </c>
    </row>
    <row r="158" spans="1:15" ht="12" customHeight="1">
      <c r="A158" s="3354"/>
      <c r="B158" s="2850" t="s">
        <v>24</v>
      </c>
      <c r="C158" s="3358" t="s">
        <v>124</v>
      </c>
      <c r="D158" s="2859">
        <f t="shared" ref="D158:G158" si="108">+D159</f>
        <v>0</v>
      </c>
      <c r="E158" s="2859">
        <f t="shared" si="108"/>
        <v>0</v>
      </c>
      <c r="F158" s="2859">
        <f t="shared" si="108"/>
        <v>0</v>
      </c>
      <c r="G158" s="2859">
        <f t="shared" si="108"/>
        <v>0</v>
      </c>
      <c r="H158" s="2859"/>
      <c r="I158" s="2859"/>
      <c r="J158" s="2859"/>
      <c r="K158" s="2859"/>
      <c r="L158" s="2859"/>
      <c r="M158" s="3290"/>
      <c r="N158" s="3355"/>
      <c r="O158" s="636"/>
    </row>
    <row r="159" spans="1:15" ht="12" customHeight="1">
      <c r="A159" s="3354"/>
      <c r="B159" s="2853" t="s">
        <v>13</v>
      </c>
      <c r="C159" s="3357"/>
      <c r="D159" s="2858"/>
      <c r="E159" s="2858">
        <v>0</v>
      </c>
      <c r="F159" s="2858"/>
      <c r="G159" s="2858"/>
      <c r="H159" s="2858"/>
      <c r="I159" s="2858"/>
      <c r="J159" s="2858"/>
      <c r="K159" s="2858"/>
      <c r="L159" s="2858"/>
      <c r="M159" s="3290"/>
      <c r="N159" s="3355"/>
      <c r="O159" s="636"/>
    </row>
    <row r="160" spans="1:15" ht="12" customHeight="1">
      <c r="A160" s="3354"/>
      <c r="B160" s="2868" t="s">
        <v>18</v>
      </c>
      <c r="C160" s="3359"/>
      <c r="D160" s="2859">
        <f t="shared" ref="D160:I160" si="109">+D161</f>
        <v>8045590</v>
      </c>
      <c r="E160" s="2859">
        <f t="shared" si="109"/>
        <v>1467433</v>
      </c>
      <c r="F160" s="2859">
        <f t="shared" si="109"/>
        <v>1386000</v>
      </c>
      <c r="G160" s="2859">
        <f t="shared" si="109"/>
        <v>1392157</v>
      </c>
      <c r="H160" s="2859">
        <f t="shared" si="109"/>
        <v>1900000</v>
      </c>
      <c r="I160" s="2859">
        <f t="shared" si="109"/>
        <v>1900000</v>
      </c>
      <c r="J160" s="2859"/>
      <c r="K160" s="2859"/>
      <c r="L160" s="2859"/>
      <c r="M160" s="3290"/>
      <c r="N160" s="3355"/>
      <c r="O160" s="636"/>
    </row>
    <row r="161" spans="1:16" ht="12" customHeight="1" thickBot="1">
      <c r="A161" s="3306"/>
      <c r="B161" s="1853" t="s">
        <v>21</v>
      </c>
      <c r="C161" s="3323"/>
      <c r="D161" s="1337">
        <f>E161+F161+G161+H161+I161+J161+K161+L161</f>
        <v>8045590</v>
      </c>
      <c r="E161" s="1337">
        <v>1467433</v>
      </c>
      <c r="F161" s="620">
        <f>1174863+210137+1000</f>
        <v>1386000</v>
      </c>
      <c r="G161" s="620">
        <f>1174863+218294-1000</f>
        <v>1392157</v>
      </c>
      <c r="H161" s="620">
        <v>1900000</v>
      </c>
      <c r="I161" s="620">
        <v>1900000</v>
      </c>
      <c r="J161" s="620"/>
      <c r="K161" s="620"/>
      <c r="L161" s="620"/>
      <c r="M161" s="3291"/>
      <c r="N161" s="3309"/>
      <c r="O161" s="636"/>
    </row>
    <row r="162" spans="1:16" ht="28.5" customHeight="1">
      <c r="A162" s="3304" t="s">
        <v>66</v>
      </c>
      <c r="B162" s="615" t="s">
        <v>401</v>
      </c>
      <c r="C162" s="616" t="s">
        <v>81</v>
      </c>
      <c r="D162" s="94"/>
      <c r="E162" s="95"/>
      <c r="F162" s="95"/>
      <c r="G162" s="95"/>
      <c r="H162" s="95"/>
      <c r="I162" s="95"/>
      <c r="J162" s="95"/>
      <c r="K162" s="95"/>
      <c r="L162" s="95"/>
      <c r="M162" s="618"/>
      <c r="N162" s="3307" t="s">
        <v>358</v>
      </c>
      <c r="O162" s="636"/>
    </row>
    <row r="163" spans="1:16" ht="14.25" customHeight="1">
      <c r="A163" s="3305"/>
      <c r="B163" s="1356" t="s">
        <v>10</v>
      </c>
      <c r="C163" s="1357"/>
      <c r="D163" s="927">
        <f t="shared" ref="D163:F163" si="110">+D164+D167</f>
        <v>36503</v>
      </c>
      <c r="E163" s="927">
        <f t="shared" ref="E163" si="111">+E164+E167</f>
        <v>18705</v>
      </c>
      <c r="F163" s="927">
        <f t="shared" si="110"/>
        <v>17798</v>
      </c>
      <c r="G163" s="927"/>
      <c r="H163" s="927"/>
      <c r="I163" s="927"/>
      <c r="J163" s="927"/>
      <c r="K163" s="927"/>
      <c r="L163" s="927"/>
      <c r="M163" s="1358">
        <f>+M164+M167</f>
        <v>17798</v>
      </c>
      <c r="N163" s="3296"/>
      <c r="O163" s="636"/>
    </row>
    <row r="164" spans="1:16" ht="12" customHeight="1">
      <c r="A164" s="3305"/>
      <c r="B164" s="1359" t="s">
        <v>24</v>
      </c>
      <c r="C164" s="3310" t="s">
        <v>124</v>
      </c>
      <c r="D164" s="1039">
        <f t="shared" ref="D164:F164" si="112">+D165+D166</f>
        <v>5738</v>
      </c>
      <c r="E164" s="1039">
        <f t="shared" ref="E164" si="113">+E165+E166</f>
        <v>2940</v>
      </c>
      <c r="F164" s="1039">
        <f t="shared" si="112"/>
        <v>2798</v>
      </c>
      <c r="G164" s="1039"/>
      <c r="H164" s="1039"/>
      <c r="I164" s="1039"/>
      <c r="J164" s="1039"/>
      <c r="K164" s="1039"/>
      <c r="L164" s="1039"/>
      <c r="M164" s="1031">
        <f>+M165+M166</f>
        <v>2798</v>
      </c>
      <c r="N164" s="3296"/>
      <c r="O164" s="636"/>
    </row>
    <row r="165" spans="1:16" ht="12" customHeight="1">
      <c r="A165" s="3305"/>
      <c r="B165" s="1360" t="s">
        <v>12</v>
      </c>
      <c r="C165" s="3311"/>
      <c r="D165" s="280">
        <f>E165+F165+G165+H165+I165+J165+K165+L165</f>
        <v>5738</v>
      </c>
      <c r="E165" s="321">
        <v>2940</v>
      </c>
      <c r="F165" s="999">
        <v>2798</v>
      </c>
      <c r="G165" s="999"/>
      <c r="H165" s="999"/>
      <c r="I165" s="999"/>
      <c r="J165" s="999"/>
      <c r="K165" s="999"/>
      <c r="L165" s="999"/>
      <c r="M165" s="1361">
        <f>SUM(F165:L165)</f>
        <v>2798</v>
      </c>
      <c r="N165" s="3296"/>
      <c r="O165" s="636"/>
    </row>
    <row r="166" spans="1:16" ht="12" customHeight="1">
      <c r="A166" s="3305"/>
      <c r="B166" s="1360" t="s">
        <v>13</v>
      </c>
      <c r="C166" s="3311"/>
      <c r="D166" s="1362"/>
      <c r="E166" s="999"/>
      <c r="F166" s="999"/>
      <c r="G166" s="999"/>
      <c r="H166" s="999"/>
      <c r="I166" s="999"/>
      <c r="J166" s="999"/>
      <c r="K166" s="999"/>
      <c r="L166" s="999"/>
      <c r="M166" s="1361">
        <f>SUM(F166:G166)</f>
        <v>0</v>
      </c>
      <c r="N166" s="3296"/>
      <c r="O166" s="636"/>
    </row>
    <row r="167" spans="1:16" ht="12" customHeight="1">
      <c r="A167" s="3305"/>
      <c r="B167" s="1363" t="s">
        <v>18</v>
      </c>
      <c r="C167" s="3311"/>
      <c r="D167" s="1364">
        <f>+D168</f>
        <v>30765</v>
      </c>
      <c r="E167" s="1364">
        <f t="shared" ref="E167:F167" si="114">+E168</f>
        <v>15765</v>
      </c>
      <c r="F167" s="1364">
        <f t="shared" si="114"/>
        <v>15000</v>
      </c>
      <c r="G167" s="1364"/>
      <c r="H167" s="1364"/>
      <c r="I167" s="1364"/>
      <c r="J167" s="1364"/>
      <c r="K167" s="1364"/>
      <c r="L167" s="1364"/>
      <c r="M167" s="1365">
        <f>+M168</f>
        <v>15000</v>
      </c>
      <c r="N167" s="3296"/>
      <c r="O167" s="636"/>
    </row>
    <row r="168" spans="1:16" ht="12" customHeight="1">
      <c r="A168" s="3305"/>
      <c r="B168" s="1360" t="s">
        <v>21</v>
      </c>
      <c r="C168" s="3311"/>
      <c r="D168" s="280">
        <f>E168+F168+G168+H168+I168+J168+K168+L168</f>
        <v>30765</v>
      </c>
      <c r="E168" s="321">
        <v>15765</v>
      </c>
      <c r="F168" s="999">
        <v>15000</v>
      </c>
      <c r="G168" s="999"/>
      <c r="H168" s="999"/>
      <c r="I168" s="999"/>
      <c r="J168" s="999"/>
      <c r="K168" s="999"/>
      <c r="L168" s="999"/>
      <c r="M168" s="1361">
        <f>SUM(F168:L168)</f>
        <v>15000</v>
      </c>
      <c r="N168" s="3296"/>
      <c r="O168" s="636"/>
    </row>
    <row r="169" spans="1:16">
      <c r="A169" s="3305"/>
      <c r="B169" s="1356" t="s">
        <v>22</v>
      </c>
      <c r="C169" s="1357"/>
      <c r="D169" s="1366">
        <f t="shared" ref="D169" si="115">+D170+D172</f>
        <v>30765</v>
      </c>
      <c r="E169" s="1366">
        <f t="shared" ref="E169" si="116">+E170+E172</f>
        <v>15765</v>
      </c>
      <c r="F169" s="1366">
        <f>+F170+F172</f>
        <v>15000</v>
      </c>
      <c r="G169" s="1366"/>
      <c r="H169" s="1366"/>
      <c r="I169" s="1366"/>
      <c r="J169" s="1366"/>
      <c r="K169" s="1366"/>
      <c r="L169" s="1366"/>
      <c r="M169" s="3298" t="s">
        <v>61</v>
      </c>
      <c r="N169" s="3308"/>
      <c r="O169" s="636"/>
    </row>
    <row r="170" spans="1:16" ht="12" customHeight="1">
      <c r="A170" s="3305"/>
      <c r="B170" s="1359" t="s">
        <v>24</v>
      </c>
      <c r="C170" s="3315" t="s">
        <v>124</v>
      </c>
      <c r="D170" s="1364">
        <f t="shared" ref="D170:E170" si="117">+D171</f>
        <v>0</v>
      </c>
      <c r="E170" s="1364">
        <f t="shared" si="117"/>
        <v>0</v>
      </c>
      <c r="F170" s="1364"/>
      <c r="G170" s="1364"/>
      <c r="H170" s="1364"/>
      <c r="I170" s="1364"/>
      <c r="J170" s="1364"/>
      <c r="K170" s="1364"/>
      <c r="L170" s="1364"/>
      <c r="M170" s="3298"/>
      <c r="N170" s="3308"/>
      <c r="O170" s="636"/>
    </row>
    <row r="171" spans="1:16" ht="12" customHeight="1">
      <c r="A171" s="3305"/>
      <c r="B171" s="1360" t="s">
        <v>13</v>
      </c>
      <c r="C171" s="3311"/>
      <c r="D171" s="1362"/>
      <c r="E171" s="1362">
        <v>0</v>
      </c>
      <c r="F171" s="1362"/>
      <c r="G171" s="1362"/>
      <c r="H171" s="1362"/>
      <c r="I171" s="1362"/>
      <c r="J171" s="1362"/>
      <c r="K171" s="1362"/>
      <c r="L171" s="1362"/>
      <c r="M171" s="3298"/>
      <c r="N171" s="3308"/>
      <c r="O171" s="636"/>
    </row>
    <row r="172" spans="1:16" ht="12" customHeight="1">
      <c r="A172" s="3305"/>
      <c r="B172" s="1363" t="s">
        <v>18</v>
      </c>
      <c r="C172" s="3316"/>
      <c r="D172" s="1364">
        <f t="shared" ref="D172:F172" si="118">+D173</f>
        <v>30765</v>
      </c>
      <c r="E172" s="1364">
        <f t="shared" si="118"/>
        <v>15765</v>
      </c>
      <c r="F172" s="1364">
        <f t="shared" si="118"/>
        <v>15000</v>
      </c>
      <c r="G172" s="1364"/>
      <c r="H172" s="1364"/>
      <c r="I172" s="1364"/>
      <c r="J172" s="1364"/>
      <c r="K172" s="1364"/>
      <c r="L172" s="1364"/>
      <c r="M172" s="3298"/>
      <c r="N172" s="3308"/>
      <c r="O172" s="636"/>
    </row>
    <row r="173" spans="1:16" ht="12" customHeight="1" thickBot="1">
      <c r="A173" s="3306"/>
      <c r="B173" s="711" t="s">
        <v>21</v>
      </c>
      <c r="C173" s="3323"/>
      <c r="D173" s="1336">
        <f>E173+F173+G173+H173+I173+J173+K173+L173</f>
        <v>30765</v>
      </c>
      <c r="E173" s="2787">
        <v>15765</v>
      </c>
      <c r="F173" s="620">
        <v>15000</v>
      </c>
      <c r="G173" s="620"/>
      <c r="H173" s="620"/>
      <c r="I173" s="620"/>
      <c r="J173" s="620"/>
      <c r="K173" s="620"/>
      <c r="L173" s="620"/>
      <c r="M173" s="3291"/>
      <c r="N173" s="3309"/>
      <c r="O173" s="636"/>
    </row>
    <row r="174" spans="1:16" ht="36" hidden="1" customHeight="1">
      <c r="A174" s="3304" t="s">
        <v>90</v>
      </c>
      <c r="B174" s="615"/>
      <c r="C174" s="616" t="s">
        <v>111</v>
      </c>
      <c r="D174" s="94"/>
      <c r="E174" s="95"/>
      <c r="F174" s="95"/>
      <c r="G174" s="95"/>
      <c r="H174" s="95"/>
      <c r="I174" s="95"/>
      <c r="J174" s="95"/>
      <c r="K174" s="95"/>
      <c r="L174" s="95"/>
      <c r="M174" s="618"/>
      <c r="N174" s="3307" t="s">
        <v>125</v>
      </c>
      <c r="O174" s="636"/>
    </row>
    <row r="175" spans="1:16" ht="10.5" hidden="1" customHeight="1">
      <c r="A175" s="3305"/>
      <c r="B175" s="1356" t="s">
        <v>10</v>
      </c>
      <c r="C175" s="1357"/>
      <c r="D175" s="927">
        <f t="shared" ref="D175" si="119">+D176+D179</f>
        <v>0</v>
      </c>
      <c r="E175" s="927">
        <v>0</v>
      </c>
      <c r="F175" s="927"/>
      <c r="G175" s="927"/>
      <c r="H175" s="927"/>
      <c r="I175" s="927"/>
      <c r="J175" s="927"/>
      <c r="K175" s="927"/>
      <c r="L175" s="927"/>
      <c r="M175" s="1358">
        <f>+M176+M179</f>
        <v>0</v>
      </c>
      <c r="N175" s="3296"/>
      <c r="O175" s="637" t="e">
        <f>+#REF!+#REF!+F175+G175</f>
        <v>#REF!</v>
      </c>
      <c r="P175" s="468"/>
    </row>
    <row r="176" spans="1:16" ht="13.5" hidden="1" customHeight="1">
      <c r="A176" s="3305"/>
      <c r="B176" s="1359" t="s">
        <v>24</v>
      </c>
      <c r="C176" s="3310" t="s">
        <v>273</v>
      </c>
      <c r="D176" s="1039">
        <f t="shared" ref="D176" si="120">+D177+D178</f>
        <v>0</v>
      </c>
      <c r="E176" s="1039">
        <v>0</v>
      </c>
      <c r="F176" s="1039"/>
      <c r="G176" s="1039"/>
      <c r="H176" s="1039"/>
      <c r="I176" s="1039"/>
      <c r="J176" s="1039"/>
      <c r="K176" s="1039"/>
      <c r="L176" s="1039"/>
      <c r="M176" s="1031">
        <f>+M177+M178</f>
        <v>0</v>
      </c>
      <c r="N176" s="3296"/>
      <c r="O176" s="636"/>
    </row>
    <row r="177" spans="1:16" ht="13.5" hidden="1" customHeight="1">
      <c r="A177" s="3305"/>
      <c r="B177" s="1360" t="s">
        <v>12</v>
      </c>
      <c r="C177" s="3311"/>
      <c r="D177" s="280">
        <f t="shared" ref="D177:D178" si="121">E177+F177+G177+H177+I177+J177+K177+L177</f>
        <v>0</v>
      </c>
      <c r="E177" s="999"/>
      <c r="F177" s="999"/>
      <c r="G177" s="999"/>
      <c r="H177" s="999"/>
      <c r="I177" s="999"/>
      <c r="J177" s="999"/>
      <c r="K177" s="999"/>
      <c r="L177" s="999"/>
      <c r="M177" s="1361">
        <f>SUM(F177:I177)</f>
        <v>0</v>
      </c>
      <c r="N177" s="3296"/>
      <c r="O177" s="636"/>
    </row>
    <row r="178" spans="1:16" hidden="1">
      <c r="A178" s="3305"/>
      <c r="B178" s="1360" t="s">
        <v>13</v>
      </c>
      <c r="C178" s="3311"/>
      <c r="D178" s="280">
        <f t="shared" si="121"/>
        <v>0</v>
      </c>
      <c r="E178" s="999"/>
      <c r="F178" s="999"/>
      <c r="G178" s="999"/>
      <c r="H178" s="999"/>
      <c r="I178" s="999"/>
      <c r="J178" s="999"/>
      <c r="K178" s="999"/>
      <c r="L178" s="999"/>
      <c r="M178" s="1361">
        <f>SUM(F178:I178)</f>
        <v>0</v>
      </c>
      <c r="N178" s="3296"/>
      <c r="O178" s="636"/>
    </row>
    <row r="179" spans="1:16" ht="12.75" hidden="1" customHeight="1">
      <c r="A179" s="3305"/>
      <c r="B179" s="1363" t="s">
        <v>18</v>
      </c>
      <c r="C179" s="3311"/>
      <c r="D179" s="1364">
        <f>+D180</f>
        <v>0</v>
      </c>
      <c r="E179" s="1364">
        <v>0</v>
      </c>
      <c r="F179" s="1364"/>
      <c r="G179" s="1364"/>
      <c r="H179" s="1364"/>
      <c r="I179" s="1364"/>
      <c r="J179" s="1364"/>
      <c r="K179" s="1364"/>
      <c r="L179" s="1364"/>
      <c r="M179" s="1365">
        <f>+M180</f>
        <v>0</v>
      </c>
      <c r="N179" s="3296"/>
      <c r="O179" s="636"/>
    </row>
    <row r="180" spans="1:16" ht="11.25" hidden="1" customHeight="1">
      <c r="A180" s="3305"/>
      <c r="B180" s="1360" t="s">
        <v>21</v>
      </c>
      <c r="C180" s="3311"/>
      <c r="D180" s="280">
        <f>E180+F180+G180+H180+I180+J180+K180+L180</f>
        <v>0</v>
      </c>
      <c r="E180" s="999"/>
      <c r="F180" s="999">
        <v>0</v>
      </c>
      <c r="G180" s="999"/>
      <c r="H180" s="999"/>
      <c r="I180" s="999"/>
      <c r="J180" s="999"/>
      <c r="K180" s="999"/>
      <c r="L180" s="999"/>
      <c r="M180" s="1361">
        <f>SUM(F180:I180)</f>
        <v>0</v>
      </c>
      <c r="N180" s="3296"/>
      <c r="O180" s="636"/>
    </row>
    <row r="181" spans="1:16" ht="13.5" hidden="1" customHeight="1">
      <c r="A181" s="3305"/>
      <c r="B181" s="1356" t="s">
        <v>22</v>
      </c>
      <c r="C181" s="1357"/>
      <c r="D181" s="1366">
        <f t="shared" ref="D181" si="122">+D182+D184</f>
        <v>0</v>
      </c>
      <c r="E181" s="1366">
        <v>0</v>
      </c>
      <c r="F181" s="1366">
        <f>+F182+F184</f>
        <v>0</v>
      </c>
      <c r="G181" s="1366"/>
      <c r="H181" s="1366"/>
      <c r="I181" s="1366"/>
      <c r="J181" s="1366"/>
      <c r="K181" s="1366"/>
      <c r="L181" s="1366"/>
      <c r="M181" s="3317" t="s">
        <v>61</v>
      </c>
      <c r="N181" s="3308"/>
      <c r="O181" s="636"/>
    </row>
    <row r="182" spans="1:16" ht="13.5" hidden="1" customHeight="1">
      <c r="A182" s="3305"/>
      <c r="B182" s="1359" t="s">
        <v>24</v>
      </c>
      <c r="C182" s="3315" t="s">
        <v>273</v>
      </c>
      <c r="D182" s="1364">
        <f t="shared" ref="D182" si="123">+D183</f>
        <v>0</v>
      </c>
      <c r="E182" s="1364">
        <v>0</v>
      </c>
      <c r="F182" s="1364">
        <f>+F183</f>
        <v>0</v>
      </c>
      <c r="G182" s="1364"/>
      <c r="H182" s="1364"/>
      <c r="I182" s="1364"/>
      <c r="J182" s="1364"/>
      <c r="K182" s="1364"/>
      <c r="L182" s="1364"/>
      <c r="M182" s="3317"/>
      <c r="N182" s="3308"/>
      <c r="O182" s="636"/>
    </row>
    <row r="183" spans="1:16" ht="11.25" hidden="1" customHeight="1">
      <c r="A183" s="3305"/>
      <c r="B183" s="1360" t="s">
        <v>13</v>
      </c>
      <c r="C183" s="3311"/>
      <c r="D183" s="280">
        <f>E183+F183+G183+H183+I183+J183+K183+L183</f>
        <v>0</v>
      </c>
      <c r="E183" s="999"/>
      <c r="F183" s="1362">
        <v>0</v>
      </c>
      <c r="G183" s="1362"/>
      <c r="H183" s="1362"/>
      <c r="I183" s="1362"/>
      <c r="J183" s="1362"/>
      <c r="K183" s="1362"/>
      <c r="L183" s="1362"/>
      <c r="M183" s="3317"/>
      <c r="N183" s="3308"/>
      <c r="O183" s="636"/>
    </row>
    <row r="184" spans="1:16" ht="12" hidden="1" customHeight="1">
      <c r="A184" s="3305"/>
      <c r="B184" s="1363" t="s">
        <v>18</v>
      </c>
      <c r="C184" s="3316"/>
      <c r="D184" s="1364">
        <f t="shared" ref="D184" si="124">+D185</f>
        <v>0</v>
      </c>
      <c r="E184" s="1364">
        <v>0</v>
      </c>
      <c r="F184" s="1364">
        <f>+F185</f>
        <v>0</v>
      </c>
      <c r="G184" s="1364"/>
      <c r="H184" s="1364"/>
      <c r="I184" s="1364"/>
      <c r="J184" s="1364"/>
      <c r="K184" s="1364"/>
      <c r="L184" s="1364"/>
      <c r="M184" s="3317"/>
      <c r="N184" s="3308"/>
      <c r="O184" s="636"/>
    </row>
    <row r="185" spans="1:16" ht="12.75" hidden="1" customHeight="1">
      <c r="A185" s="3305"/>
      <c r="B185" s="1360" t="s">
        <v>21</v>
      </c>
      <c r="C185" s="3316"/>
      <c r="D185" s="280">
        <f>E185+F185+G185+H185+I185+J185+K185+L185</f>
        <v>0</v>
      </c>
      <c r="E185" s="999"/>
      <c r="F185" s="999">
        <v>0</v>
      </c>
      <c r="G185" s="999"/>
      <c r="H185" s="999"/>
      <c r="I185" s="999"/>
      <c r="J185" s="999"/>
      <c r="K185" s="999"/>
      <c r="L185" s="999"/>
      <c r="M185" s="3317"/>
      <c r="N185" s="3308"/>
      <c r="O185" s="636"/>
    </row>
    <row r="186" spans="1:16" hidden="1">
      <c r="A186" s="3305" t="s">
        <v>91</v>
      </c>
      <c r="B186" s="1352"/>
      <c r="C186" s="1353" t="s">
        <v>111</v>
      </c>
      <c r="D186" s="1021"/>
      <c r="E186" s="1354"/>
      <c r="F186" s="1354"/>
      <c r="G186" s="1021"/>
      <c r="H186" s="1021"/>
      <c r="I186" s="1021"/>
      <c r="J186" s="1021"/>
      <c r="K186" s="1021"/>
      <c r="L186" s="1021"/>
      <c r="M186" s="1355"/>
      <c r="N186" s="3296" t="s">
        <v>125</v>
      </c>
      <c r="O186" s="636"/>
    </row>
    <row r="187" spans="1:16" ht="11.25" hidden="1" customHeight="1">
      <c r="A187" s="3305"/>
      <c r="B187" s="1356" t="s">
        <v>10</v>
      </c>
      <c r="C187" s="1357"/>
      <c r="D187" s="927">
        <f t="shared" ref="D187" si="125">+D188+D191</f>
        <v>0</v>
      </c>
      <c r="E187" s="927">
        <v>0</v>
      </c>
      <c r="F187" s="927">
        <f>+F188+F191</f>
        <v>0</v>
      </c>
      <c r="G187" s="927">
        <f>+G188+G191</f>
        <v>0</v>
      </c>
      <c r="H187" s="927">
        <f>+H188+H191</f>
        <v>0</v>
      </c>
      <c r="I187" s="927">
        <f>+I188+I191</f>
        <v>0</v>
      </c>
      <c r="J187" s="927"/>
      <c r="K187" s="927"/>
      <c r="L187" s="927"/>
      <c r="M187" s="1358" t="e">
        <f>+M188+M191</f>
        <v>#REF!</v>
      </c>
      <c r="N187" s="3296"/>
      <c r="O187" s="637" t="e">
        <f>+#REF!+#REF!+F187+G187</f>
        <v>#REF!</v>
      </c>
      <c r="P187" s="468"/>
    </row>
    <row r="188" spans="1:16" ht="11.25" hidden="1" customHeight="1">
      <c r="A188" s="3305"/>
      <c r="B188" s="1359" t="s">
        <v>24</v>
      </c>
      <c r="C188" s="3310" t="s">
        <v>273</v>
      </c>
      <c r="D188" s="1039">
        <f t="shared" ref="D188" si="126">+D189+D190</f>
        <v>0</v>
      </c>
      <c r="E188" s="1039">
        <v>0</v>
      </c>
      <c r="F188" s="1039">
        <f>+F189+F190</f>
        <v>0</v>
      </c>
      <c r="G188" s="1039">
        <f>+G189+G190</f>
        <v>0</v>
      </c>
      <c r="H188" s="1039">
        <f>+H189+H190</f>
        <v>0</v>
      </c>
      <c r="I188" s="1039">
        <f>+I189+I190</f>
        <v>0</v>
      </c>
      <c r="J188" s="1039"/>
      <c r="K188" s="1039"/>
      <c r="L188" s="1039"/>
      <c r="M188" s="1031" t="e">
        <f>+M189+M190</f>
        <v>#REF!</v>
      </c>
      <c r="N188" s="3296"/>
      <c r="O188" s="636"/>
    </row>
    <row r="189" spans="1:16" ht="11.25" hidden="1" customHeight="1">
      <c r="A189" s="3305"/>
      <c r="B189" s="1360" t="s">
        <v>12</v>
      </c>
      <c r="C189" s="3311"/>
      <c r="D189" s="280">
        <f t="shared" ref="D189:D190" si="127">E189+F189+G189+H189+I189+J189+K189+L189</f>
        <v>0</v>
      </c>
      <c r="E189" s="999"/>
      <c r="F189" s="999"/>
      <c r="G189" s="999"/>
      <c r="H189" s="999"/>
      <c r="I189" s="999"/>
      <c r="J189" s="999"/>
      <c r="K189" s="999"/>
      <c r="L189" s="999"/>
      <c r="M189" s="1361" t="e">
        <f>+#REF!+E189+#REF!</f>
        <v>#REF!</v>
      </c>
      <c r="N189" s="3296"/>
      <c r="O189" s="636"/>
    </row>
    <row r="190" spans="1:16" ht="11.25" hidden="1" customHeight="1">
      <c r="A190" s="3305"/>
      <c r="B190" s="1360" t="s">
        <v>13</v>
      </c>
      <c r="C190" s="3311"/>
      <c r="D190" s="280">
        <f t="shared" si="127"/>
        <v>0</v>
      </c>
      <c r="E190" s="999">
        <v>0</v>
      </c>
      <c r="F190" s="999"/>
      <c r="G190" s="999"/>
      <c r="H190" s="999"/>
      <c r="I190" s="999"/>
      <c r="J190" s="999"/>
      <c r="K190" s="999"/>
      <c r="L190" s="999"/>
      <c r="M190" s="1361">
        <f>SUM(F190:G190)</f>
        <v>0</v>
      </c>
      <c r="N190" s="3296"/>
      <c r="O190" s="636"/>
    </row>
    <row r="191" spans="1:16" ht="12.75" hidden="1" customHeight="1">
      <c r="A191" s="3305"/>
      <c r="B191" s="1363" t="s">
        <v>18</v>
      </c>
      <c r="C191" s="3311"/>
      <c r="D191" s="1364">
        <f>+D192</f>
        <v>0</v>
      </c>
      <c r="E191" s="1364">
        <v>0</v>
      </c>
      <c r="F191" s="1364">
        <f t="shared" ref="F191:M191" si="128">+F192</f>
        <v>0</v>
      </c>
      <c r="G191" s="1364">
        <f t="shared" si="128"/>
        <v>0</v>
      </c>
      <c r="H191" s="1364">
        <f t="shared" si="128"/>
        <v>0</v>
      </c>
      <c r="I191" s="1364">
        <f t="shared" si="128"/>
        <v>0</v>
      </c>
      <c r="J191" s="1364"/>
      <c r="K191" s="1364"/>
      <c r="L191" s="1364"/>
      <c r="M191" s="1365">
        <f t="shared" si="128"/>
        <v>0</v>
      </c>
      <c r="N191" s="3296"/>
      <c r="O191" s="636"/>
    </row>
    <row r="192" spans="1:16" ht="11.25" hidden="1" customHeight="1">
      <c r="A192" s="3305"/>
      <c r="B192" s="1360" t="s">
        <v>21</v>
      </c>
      <c r="C192" s="3311"/>
      <c r="D192" s="280">
        <f>E192+F192+G192+H192+I192+J192+K192+L192</f>
        <v>0</v>
      </c>
      <c r="E192" s="999"/>
      <c r="F192" s="999">
        <v>0</v>
      </c>
      <c r="G192" s="999">
        <v>0</v>
      </c>
      <c r="H192" s="999">
        <v>0</v>
      </c>
      <c r="I192" s="999">
        <v>0</v>
      </c>
      <c r="J192" s="999"/>
      <c r="K192" s="999"/>
      <c r="L192" s="999"/>
      <c r="M192" s="1361">
        <f>SUM(F192:I192)</f>
        <v>0</v>
      </c>
      <c r="N192" s="3296"/>
      <c r="O192" s="636"/>
    </row>
    <row r="193" spans="1:16" ht="11.25" hidden="1" customHeight="1">
      <c r="A193" s="3314"/>
      <c r="B193" s="1356" t="s">
        <v>22</v>
      </c>
      <c r="C193" s="1357"/>
      <c r="D193" s="1366">
        <f t="shared" ref="D193" si="129">+D194+D196</f>
        <v>0</v>
      </c>
      <c r="E193" s="1366">
        <v>0</v>
      </c>
      <c r="F193" s="1366">
        <f t="shared" ref="F193:I193" si="130">+F194+F196</f>
        <v>0</v>
      </c>
      <c r="G193" s="1366">
        <f t="shared" si="130"/>
        <v>0</v>
      </c>
      <c r="H193" s="1366">
        <f t="shared" si="130"/>
        <v>0</v>
      </c>
      <c r="I193" s="1366">
        <f t="shared" si="130"/>
        <v>0</v>
      </c>
      <c r="J193" s="1366"/>
      <c r="K193" s="1366"/>
      <c r="L193" s="1366"/>
      <c r="M193" s="3317" t="s">
        <v>61</v>
      </c>
      <c r="N193" s="3308"/>
      <c r="O193" s="636"/>
    </row>
    <row r="194" spans="1:16" ht="11.25" hidden="1" customHeight="1">
      <c r="A194" s="3314"/>
      <c r="B194" s="1359" t="s">
        <v>24</v>
      </c>
      <c r="C194" s="3315" t="s">
        <v>273</v>
      </c>
      <c r="D194" s="1364">
        <f t="shared" ref="D194" si="131">+D195</f>
        <v>0</v>
      </c>
      <c r="E194" s="1364">
        <v>0</v>
      </c>
      <c r="F194" s="1364">
        <v>0</v>
      </c>
      <c r="G194" s="1364">
        <v>0</v>
      </c>
      <c r="H194" s="1364">
        <v>0</v>
      </c>
      <c r="I194" s="1364">
        <v>0</v>
      </c>
      <c r="J194" s="1364"/>
      <c r="K194" s="1364"/>
      <c r="L194" s="1364"/>
      <c r="M194" s="3317"/>
      <c r="N194" s="3308"/>
      <c r="O194" s="636"/>
    </row>
    <row r="195" spans="1:16" ht="19.149999999999999" hidden="1" customHeight="1">
      <c r="A195" s="3314"/>
      <c r="B195" s="1360" t="s">
        <v>13</v>
      </c>
      <c r="C195" s="3311"/>
      <c r="D195" s="280">
        <f>E195+F195+G195+H195+I195+J195+K195+L195</f>
        <v>0</v>
      </c>
      <c r="E195" s="1362"/>
      <c r="F195" s="1362"/>
      <c r="G195" s="1362"/>
      <c r="H195" s="1362"/>
      <c r="I195" s="1362"/>
      <c r="J195" s="1362"/>
      <c r="K195" s="1362"/>
      <c r="L195" s="1362"/>
      <c r="M195" s="3317"/>
      <c r="N195" s="3308"/>
      <c r="O195" s="636"/>
    </row>
    <row r="196" spans="1:16" ht="18.600000000000001" hidden="1" customHeight="1">
      <c r="A196" s="3314"/>
      <c r="B196" s="1363" t="s">
        <v>18</v>
      </c>
      <c r="C196" s="3316"/>
      <c r="D196" s="1364">
        <f t="shared" ref="D196" si="132">+D197</f>
        <v>0</v>
      </c>
      <c r="E196" s="1364">
        <v>0</v>
      </c>
      <c r="F196" s="1364">
        <v>0</v>
      </c>
      <c r="G196" s="1364">
        <v>0</v>
      </c>
      <c r="H196" s="1364">
        <v>0</v>
      </c>
      <c r="I196" s="1364">
        <v>0</v>
      </c>
      <c r="J196" s="1364"/>
      <c r="K196" s="1364"/>
      <c r="L196" s="1364"/>
      <c r="M196" s="3317"/>
      <c r="N196" s="3308"/>
      <c r="O196" s="636"/>
    </row>
    <row r="197" spans="1:16" ht="19.149999999999999" hidden="1" customHeight="1">
      <c r="A197" s="3314"/>
      <c r="B197" s="1360" t="s">
        <v>21</v>
      </c>
      <c r="C197" s="3316"/>
      <c r="D197" s="280">
        <f>E197+F197+G197+H197+I197+J197+K197+L197</f>
        <v>0</v>
      </c>
      <c r="E197" s="999"/>
      <c r="F197" s="999">
        <v>0</v>
      </c>
      <c r="G197" s="999">
        <v>0</v>
      </c>
      <c r="H197" s="999">
        <v>0</v>
      </c>
      <c r="I197" s="999">
        <v>0</v>
      </c>
      <c r="J197" s="999"/>
      <c r="K197" s="999"/>
      <c r="L197" s="999"/>
      <c r="M197" s="3317"/>
      <c r="N197" s="3308"/>
      <c r="O197" s="636"/>
    </row>
    <row r="198" spans="1:16" ht="19.149999999999999" hidden="1" customHeight="1">
      <c r="A198" s="3305" t="s">
        <v>92</v>
      </c>
      <c r="B198" s="1352"/>
      <c r="C198" s="1353" t="s">
        <v>111</v>
      </c>
      <c r="D198" s="1021"/>
      <c r="E198" s="1354"/>
      <c r="F198" s="1354"/>
      <c r="G198" s="1354"/>
      <c r="H198" s="1354"/>
      <c r="I198" s="1354"/>
      <c r="J198" s="1354"/>
      <c r="K198" s="1354"/>
      <c r="L198" s="1354"/>
      <c r="M198" s="1355"/>
      <c r="N198" s="3296" t="s">
        <v>125</v>
      </c>
      <c r="O198" s="636"/>
    </row>
    <row r="199" spans="1:16" ht="18.600000000000001" hidden="1" customHeight="1">
      <c r="A199" s="3305"/>
      <c r="B199" s="1356" t="s">
        <v>10</v>
      </c>
      <c r="C199" s="927"/>
      <c r="D199" s="927">
        <f t="shared" ref="D199" si="133">+D200+D203</f>
        <v>0</v>
      </c>
      <c r="E199" s="927">
        <v>0</v>
      </c>
      <c r="F199" s="927">
        <f>+F200+F203</f>
        <v>0</v>
      </c>
      <c r="G199" s="927"/>
      <c r="H199" s="927"/>
      <c r="I199" s="927"/>
      <c r="J199" s="927"/>
      <c r="K199" s="927"/>
      <c r="L199" s="927"/>
      <c r="M199" s="1358" t="e">
        <f>+M200+M203</f>
        <v>#REF!</v>
      </c>
      <c r="N199" s="3296"/>
      <c r="O199" s="637" t="e">
        <f>+#REF!+#REF!+F199+G199</f>
        <v>#REF!</v>
      </c>
      <c r="P199" s="468"/>
    </row>
    <row r="200" spans="1:16" ht="19.149999999999999" hidden="1" customHeight="1">
      <c r="A200" s="3305"/>
      <c r="B200" s="1505" t="s">
        <v>24</v>
      </c>
      <c r="C200" s="3310" t="s">
        <v>273</v>
      </c>
      <c r="D200" s="280">
        <f t="shared" ref="D200:D202" si="134">E200+F200+G200+H200+I200+J200+K200+L200</f>
        <v>0</v>
      </c>
      <c r="E200" s="1505">
        <v>0</v>
      </c>
      <c r="F200" s="1505">
        <f>+F201+F202</f>
        <v>0</v>
      </c>
      <c r="G200" s="1505"/>
      <c r="H200" s="1505"/>
      <c r="I200" s="1505"/>
      <c r="J200" s="1505"/>
      <c r="K200" s="1505"/>
      <c r="L200" s="1505"/>
      <c r="M200" s="1031" t="e">
        <f>+M201+M202</f>
        <v>#REF!</v>
      </c>
      <c r="N200" s="3296"/>
      <c r="O200" s="636"/>
    </row>
    <row r="201" spans="1:16" ht="19.899999999999999" hidden="1" customHeight="1">
      <c r="A201" s="3305"/>
      <c r="B201" s="1505" t="s">
        <v>12</v>
      </c>
      <c r="C201" s="3311"/>
      <c r="D201" s="280">
        <f t="shared" si="134"/>
        <v>0</v>
      </c>
      <c r="E201" s="1505"/>
      <c r="F201" s="1505"/>
      <c r="G201" s="1505"/>
      <c r="H201" s="1505"/>
      <c r="I201" s="1505"/>
      <c r="J201" s="1505"/>
      <c r="K201" s="1505"/>
      <c r="L201" s="1505"/>
      <c r="M201" s="1361" t="e">
        <f>+#REF!+E201+#REF!</f>
        <v>#REF!</v>
      </c>
      <c r="N201" s="3296"/>
      <c r="O201" s="636"/>
    </row>
    <row r="202" spans="1:16" ht="17.45" hidden="1" customHeight="1">
      <c r="A202" s="3305"/>
      <c r="B202" s="1505" t="s">
        <v>13</v>
      </c>
      <c r="C202" s="3311"/>
      <c r="D202" s="280">
        <f t="shared" si="134"/>
        <v>0</v>
      </c>
      <c r="E202" s="1505"/>
      <c r="F202" s="1505"/>
      <c r="G202" s="1505"/>
      <c r="H202" s="1505"/>
      <c r="I202" s="1505"/>
      <c r="J202" s="1505"/>
      <c r="K202" s="1505"/>
      <c r="L202" s="1505"/>
      <c r="M202" s="1361">
        <f>SUM(F202:G202)</f>
        <v>0</v>
      </c>
      <c r="N202" s="3296"/>
      <c r="O202" s="636"/>
    </row>
    <row r="203" spans="1:16" ht="17.45" hidden="1" customHeight="1">
      <c r="A203" s="3305"/>
      <c r="B203" s="1363" t="s">
        <v>18</v>
      </c>
      <c r="C203" s="3311"/>
      <c r="D203" s="1364">
        <f>+D204</f>
        <v>0</v>
      </c>
      <c r="E203" s="1364">
        <v>0</v>
      </c>
      <c r="F203" s="1364">
        <f t="shared" ref="F203:M203" si="135">+F204</f>
        <v>0</v>
      </c>
      <c r="G203" s="1364"/>
      <c r="H203" s="1364"/>
      <c r="I203" s="1364"/>
      <c r="J203" s="1364"/>
      <c r="K203" s="1364"/>
      <c r="L203" s="1364"/>
      <c r="M203" s="1365">
        <f t="shared" si="135"/>
        <v>0</v>
      </c>
      <c r="N203" s="3296"/>
      <c r="O203" s="636"/>
    </row>
    <row r="204" spans="1:16" ht="18" hidden="1" customHeight="1">
      <c r="A204" s="3305"/>
      <c r="B204" s="1360" t="s">
        <v>21</v>
      </c>
      <c r="C204" s="3311"/>
      <c r="D204" s="280">
        <f>E204+F204+G204+H204+I204+J204+K204+L204</f>
        <v>0</v>
      </c>
      <c r="E204" s="999"/>
      <c r="F204" s="999">
        <v>0</v>
      </c>
      <c r="G204" s="999"/>
      <c r="H204" s="999"/>
      <c r="I204" s="999"/>
      <c r="J204" s="999"/>
      <c r="K204" s="999"/>
      <c r="L204" s="999"/>
      <c r="M204" s="1361">
        <f>SUM(F204:I204)</f>
        <v>0</v>
      </c>
      <c r="N204" s="3296"/>
      <c r="O204" s="636"/>
    </row>
    <row r="205" spans="1:16" ht="18" hidden="1" customHeight="1">
      <c r="A205" s="3314"/>
      <c r="B205" s="1356" t="s">
        <v>22</v>
      </c>
      <c r="C205" s="1357"/>
      <c r="D205" s="1366">
        <f t="shared" ref="D205" si="136">+D206+D208</f>
        <v>0</v>
      </c>
      <c r="E205" s="1366">
        <v>0</v>
      </c>
      <c r="F205" s="1366">
        <f>+F206+F208</f>
        <v>0</v>
      </c>
      <c r="G205" s="1366"/>
      <c r="H205" s="1366"/>
      <c r="I205" s="1366"/>
      <c r="J205" s="1366"/>
      <c r="K205" s="1366"/>
      <c r="L205" s="1366"/>
      <c r="M205" s="3317" t="s">
        <v>61</v>
      </c>
      <c r="N205" s="3308"/>
      <c r="O205" s="636"/>
    </row>
    <row r="206" spans="1:16" ht="18.600000000000001" hidden="1" customHeight="1">
      <c r="A206" s="3314"/>
      <c r="B206" s="1402" t="s">
        <v>24</v>
      </c>
      <c r="C206" s="3315" t="s">
        <v>273</v>
      </c>
      <c r="D206" s="1364">
        <f t="shared" ref="D206:F206" si="137">+D207</f>
        <v>0</v>
      </c>
      <c r="E206" s="1364">
        <v>0</v>
      </c>
      <c r="F206" s="1364">
        <f t="shared" si="137"/>
        <v>0</v>
      </c>
      <c r="G206" s="1364"/>
      <c r="H206" s="1364"/>
      <c r="I206" s="1364"/>
      <c r="J206" s="1364"/>
      <c r="K206" s="1364"/>
      <c r="L206" s="1364"/>
      <c r="M206" s="3317"/>
      <c r="N206" s="3308"/>
      <c r="O206" s="636"/>
    </row>
    <row r="207" spans="1:16" ht="18.600000000000001" hidden="1" customHeight="1">
      <c r="A207" s="3314"/>
      <c r="B207" s="1505" t="s">
        <v>13</v>
      </c>
      <c r="C207" s="3311"/>
      <c r="D207" s="280">
        <f>E207+F207+G207+H207+I207+J207+K207+L207</f>
        <v>0</v>
      </c>
      <c r="E207" s="999">
        <v>0</v>
      </c>
      <c r="F207" s="999"/>
      <c r="G207" s="999"/>
      <c r="H207" s="999"/>
      <c r="I207" s="999"/>
      <c r="J207" s="999"/>
      <c r="K207" s="999"/>
      <c r="L207" s="999"/>
      <c r="M207" s="3317"/>
      <c r="N207" s="3308"/>
      <c r="O207" s="636"/>
    </row>
    <row r="208" spans="1:16" ht="19.149999999999999" hidden="1" customHeight="1">
      <c r="A208" s="3314"/>
      <c r="B208" s="1402" t="s">
        <v>18</v>
      </c>
      <c r="C208" s="3316"/>
      <c r="D208" s="1364">
        <f t="shared" ref="D208:F208" si="138">+D209</f>
        <v>0</v>
      </c>
      <c r="E208" s="1364">
        <v>0</v>
      </c>
      <c r="F208" s="1364">
        <f t="shared" si="138"/>
        <v>0</v>
      </c>
      <c r="G208" s="1364"/>
      <c r="H208" s="1364"/>
      <c r="I208" s="1364"/>
      <c r="J208" s="1364"/>
      <c r="K208" s="1364"/>
      <c r="L208" s="1364"/>
      <c r="M208" s="3317"/>
      <c r="N208" s="3308"/>
      <c r="O208" s="636"/>
    </row>
    <row r="209" spans="1:18" ht="12.75" hidden="1" customHeight="1">
      <c r="A209" s="3314"/>
      <c r="B209" s="1402" t="s">
        <v>21</v>
      </c>
      <c r="C209" s="3316"/>
      <c r="D209" s="280">
        <f>E209+F209+G209+H209+I209+J209+K209+L209</f>
        <v>0</v>
      </c>
      <c r="E209" s="999"/>
      <c r="F209" s="999"/>
      <c r="G209" s="999"/>
      <c r="H209" s="999"/>
      <c r="I209" s="999"/>
      <c r="J209" s="999"/>
      <c r="K209" s="999"/>
      <c r="L209" s="999"/>
      <c r="M209" s="3317"/>
      <c r="N209" s="3308"/>
      <c r="O209" s="636"/>
    </row>
    <row r="210" spans="1:18" ht="14.25" customHeight="1">
      <c r="A210" s="3305" t="s">
        <v>67</v>
      </c>
      <c r="B210" s="2006" t="s">
        <v>339</v>
      </c>
      <c r="C210" s="2007" t="s">
        <v>111</v>
      </c>
      <c r="D210" s="2008"/>
      <c r="E210" s="2009"/>
      <c r="F210" s="2009"/>
      <c r="G210" s="2009"/>
      <c r="H210" s="2009"/>
      <c r="I210" s="2009"/>
      <c r="J210" s="2009"/>
      <c r="K210" s="2009"/>
      <c r="L210" s="2009"/>
      <c r="M210" s="2010"/>
      <c r="N210" s="3296" t="s">
        <v>359</v>
      </c>
      <c r="O210" s="636"/>
      <c r="R210" s="474"/>
    </row>
    <row r="211" spans="1:18" ht="12" customHeight="1">
      <c r="A211" s="3305"/>
      <c r="B211" s="2011" t="s">
        <v>10</v>
      </c>
      <c r="C211" s="2012"/>
      <c r="D211" s="2013">
        <f>+D212+D215</f>
        <v>75096479</v>
      </c>
      <c r="E211" s="2013">
        <f t="shared" ref="E211" si="139">+E212+E215</f>
        <v>8674017</v>
      </c>
      <c r="F211" s="2013">
        <f t="shared" ref="F211:M211" si="140">+F212+F215</f>
        <v>10034300</v>
      </c>
      <c r="G211" s="2013">
        <f t="shared" si="140"/>
        <v>9867179</v>
      </c>
      <c r="H211" s="2013">
        <f t="shared" si="140"/>
        <v>9681275</v>
      </c>
      <c r="I211" s="2013">
        <f t="shared" si="140"/>
        <v>9701275</v>
      </c>
      <c r="J211" s="2013">
        <f t="shared" si="140"/>
        <v>9597275</v>
      </c>
      <c r="K211" s="2013">
        <f t="shared" si="140"/>
        <v>8877275</v>
      </c>
      <c r="L211" s="2013">
        <f t="shared" si="140"/>
        <v>8663883</v>
      </c>
      <c r="M211" s="2014">
        <f t="shared" si="140"/>
        <v>66422462</v>
      </c>
      <c r="N211" s="3296"/>
      <c r="O211" s="637"/>
      <c r="P211" s="468"/>
      <c r="Q211" s="468"/>
      <c r="R211" s="468"/>
    </row>
    <row r="212" spans="1:18" ht="14.25" customHeight="1">
      <c r="A212" s="3305"/>
      <c r="B212" s="2015" t="s">
        <v>24</v>
      </c>
      <c r="C212" s="3318" t="s">
        <v>124</v>
      </c>
      <c r="D212" s="1964">
        <f t="shared" ref="D212" si="141">+D213+D214</f>
        <v>11264472</v>
      </c>
      <c r="E212" s="1964">
        <f t="shared" ref="E212" si="142">+E213+E214</f>
        <v>1301102</v>
      </c>
      <c r="F212" s="1964">
        <f t="shared" ref="F212:M212" si="143">+F213+F214</f>
        <v>1505144</v>
      </c>
      <c r="G212" s="1964">
        <f t="shared" si="143"/>
        <v>1480078</v>
      </c>
      <c r="H212" s="1964">
        <f t="shared" si="143"/>
        <v>1452191</v>
      </c>
      <c r="I212" s="1964">
        <f t="shared" si="143"/>
        <v>1455191</v>
      </c>
      <c r="J212" s="1964">
        <f t="shared" si="143"/>
        <v>1439591</v>
      </c>
      <c r="K212" s="1964">
        <f t="shared" si="143"/>
        <v>1331592</v>
      </c>
      <c r="L212" s="1964">
        <f t="shared" si="143"/>
        <v>1299583</v>
      </c>
      <c r="M212" s="1966">
        <f t="shared" si="143"/>
        <v>9963370</v>
      </c>
      <c r="N212" s="3296"/>
      <c r="O212" s="636"/>
    </row>
    <row r="213" spans="1:18" ht="13.5" customHeight="1">
      <c r="A213" s="3305"/>
      <c r="B213" s="2016" t="s">
        <v>12</v>
      </c>
      <c r="C213" s="3319"/>
      <c r="D213" s="280">
        <f>E213+F213+G213+H213+I213+J213+K213+L213</f>
        <v>11264472</v>
      </c>
      <c r="E213" s="321">
        <v>1301102</v>
      </c>
      <c r="F213" s="1924">
        <f>1467941+1868-1500+27303+9532</f>
        <v>1505144</v>
      </c>
      <c r="G213" s="1924">
        <f>1467941+12137</f>
        <v>1480078</v>
      </c>
      <c r="H213" s="1924">
        <v>1452191</v>
      </c>
      <c r="I213" s="1924">
        <v>1455191</v>
      </c>
      <c r="J213" s="1924">
        <v>1439591</v>
      </c>
      <c r="K213" s="1924">
        <v>1331592</v>
      </c>
      <c r="L213" s="1924">
        <v>1299583</v>
      </c>
      <c r="M213" s="2017">
        <f>SUM(F213:L213)</f>
        <v>9963370</v>
      </c>
      <c r="N213" s="3296"/>
      <c r="O213" s="637">
        <f>+M213-D213</f>
        <v>-1301102</v>
      </c>
    </row>
    <row r="214" spans="1:18" ht="13.5" customHeight="1">
      <c r="A214" s="3305"/>
      <c r="B214" s="2016" t="s">
        <v>13</v>
      </c>
      <c r="C214" s="3319"/>
      <c r="D214" s="280">
        <f>E214+F214+G214+H214+I214+J214+K214+L214</f>
        <v>0</v>
      </c>
      <c r="E214" s="1995">
        <v>0</v>
      </c>
      <c r="F214" s="1995"/>
      <c r="G214" s="1995"/>
      <c r="H214" s="1995"/>
      <c r="I214" s="1995"/>
      <c r="J214" s="1995"/>
      <c r="K214" s="1995"/>
      <c r="L214" s="1995"/>
      <c r="M214" s="2017">
        <f>SUM(F214:G214)</f>
        <v>0</v>
      </c>
      <c r="N214" s="3296"/>
      <c r="O214" s="636"/>
    </row>
    <row r="215" spans="1:18" ht="13.5" customHeight="1">
      <c r="A215" s="3305"/>
      <c r="B215" s="2019" t="s">
        <v>18</v>
      </c>
      <c r="C215" s="3319"/>
      <c r="D215" s="2020">
        <f>+D216</f>
        <v>63832007</v>
      </c>
      <c r="E215" s="2020">
        <f t="shared" ref="E215:M215" si="144">+E216</f>
        <v>7372915</v>
      </c>
      <c r="F215" s="2020">
        <f t="shared" si="144"/>
        <v>8529156</v>
      </c>
      <c r="G215" s="2020">
        <f t="shared" si="144"/>
        <v>8387101</v>
      </c>
      <c r="H215" s="2020">
        <f t="shared" si="144"/>
        <v>8229084</v>
      </c>
      <c r="I215" s="2020">
        <f t="shared" si="144"/>
        <v>8246084</v>
      </c>
      <c r="J215" s="2020">
        <f t="shared" si="144"/>
        <v>8157684</v>
      </c>
      <c r="K215" s="2020">
        <f t="shared" si="144"/>
        <v>7545683</v>
      </c>
      <c r="L215" s="2020">
        <f t="shared" si="144"/>
        <v>7364300</v>
      </c>
      <c r="M215" s="2021">
        <f t="shared" si="144"/>
        <v>56459092</v>
      </c>
      <c r="N215" s="3296"/>
      <c r="O215" s="637">
        <f>+M215-D215</f>
        <v>-7372915</v>
      </c>
    </row>
    <row r="216" spans="1:18" ht="13.5" customHeight="1">
      <c r="A216" s="3305"/>
      <c r="B216" s="2016" t="s">
        <v>21</v>
      </c>
      <c r="C216" s="3319"/>
      <c r="D216" s="280">
        <f>E216+F216+G216+H216+I216+J216+K216+L216</f>
        <v>63832007</v>
      </c>
      <c r="E216" s="321">
        <v>7372915</v>
      </c>
      <c r="F216" s="2022">
        <f>8318334+10585-8500+154719+54018</f>
        <v>8529156</v>
      </c>
      <c r="G216" s="2023">
        <f>8318334+68767</f>
        <v>8387101</v>
      </c>
      <c r="H216" s="2023">
        <v>8229084</v>
      </c>
      <c r="I216" s="2023">
        <v>8246084</v>
      </c>
      <c r="J216" s="2023">
        <v>8157684</v>
      </c>
      <c r="K216" s="2023">
        <v>7545683</v>
      </c>
      <c r="L216" s="2023">
        <v>7364300</v>
      </c>
      <c r="M216" s="2017">
        <f>SUM(F216:L216)</f>
        <v>56459092</v>
      </c>
      <c r="N216" s="3296"/>
      <c r="O216" s="636"/>
    </row>
    <row r="217" spans="1:18" s="475" customFormat="1" ht="13.5" customHeight="1">
      <c r="A217" s="3305"/>
      <c r="B217" s="2011" t="s">
        <v>22</v>
      </c>
      <c r="C217" s="2012"/>
      <c r="D217" s="2024">
        <f t="shared" ref="D217" si="145">+D218+D220</f>
        <v>63832007</v>
      </c>
      <c r="E217" s="2024">
        <f t="shared" ref="E217" si="146">+E218+E220</f>
        <v>7372915</v>
      </c>
      <c r="F217" s="2024">
        <f>+F218+F220</f>
        <v>8529156</v>
      </c>
      <c r="G217" s="2024">
        <f t="shared" ref="G217:L217" si="147">+G218+G220</f>
        <v>8387101</v>
      </c>
      <c r="H217" s="2024">
        <f t="shared" si="147"/>
        <v>8229084</v>
      </c>
      <c r="I217" s="2024">
        <f t="shared" si="147"/>
        <v>8246084</v>
      </c>
      <c r="J217" s="2024">
        <f t="shared" si="147"/>
        <v>8157684</v>
      </c>
      <c r="K217" s="2024">
        <f t="shared" si="147"/>
        <v>7545683</v>
      </c>
      <c r="L217" s="2024">
        <f t="shared" si="147"/>
        <v>7364300</v>
      </c>
      <c r="M217" s="3320" t="s">
        <v>61</v>
      </c>
      <c r="N217" s="3308"/>
      <c r="O217" s="640"/>
    </row>
    <row r="218" spans="1:18" ht="11.25" customHeight="1">
      <c r="A218" s="3305"/>
      <c r="B218" s="2015" t="s">
        <v>24</v>
      </c>
      <c r="C218" s="3321" t="s">
        <v>277</v>
      </c>
      <c r="D218" s="2020">
        <f t="shared" ref="D218:L218" si="148">+D219</f>
        <v>0</v>
      </c>
      <c r="E218" s="2020">
        <f t="shared" si="148"/>
        <v>0</v>
      </c>
      <c r="F218" s="2020">
        <f t="shared" si="148"/>
        <v>0</v>
      </c>
      <c r="G218" s="2020">
        <f t="shared" si="148"/>
        <v>0</v>
      </c>
      <c r="H218" s="2020">
        <f t="shared" si="148"/>
        <v>0</v>
      </c>
      <c r="I218" s="2020">
        <f t="shared" si="148"/>
        <v>0</v>
      </c>
      <c r="J218" s="2020">
        <f t="shared" si="148"/>
        <v>0</v>
      </c>
      <c r="K218" s="2020">
        <f t="shared" si="148"/>
        <v>0</v>
      </c>
      <c r="L218" s="2020">
        <f t="shared" si="148"/>
        <v>0</v>
      </c>
      <c r="M218" s="3320"/>
      <c r="N218" s="3308"/>
      <c r="O218" s="636"/>
    </row>
    <row r="219" spans="1:18" ht="11.25" customHeight="1">
      <c r="A219" s="3305"/>
      <c r="B219" s="2016" t="s">
        <v>13</v>
      </c>
      <c r="C219" s="3321"/>
      <c r="D219" s="280">
        <f>E219+F219+G219+H219+I219+J219+K219+L219</f>
        <v>0</v>
      </c>
      <c r="E219" s="2018"/>
      <c r="F219" s="2018"/>
      <c r="G219" s="2018"/>
      <c r="H219" s="2018"/>
      <c r="I219" s="2018"/>
      <c r="J219" s="2018"/>
      <c r="K219" s="2018"/>
      <c r="L219" s="2018"/>
      <c r="M219" s="3320"/>
      <c r="N219" s="3308"/>
      <c r="O219" s="636"/>
    </row>
    <row r="220" spans="1:18" ht="13.5" customHeight="1">
      <c r="A220" s="3305"/>
      <c r="B220" s="2019" t="s">
        <v>18</v>
      </c>
      <c r="C220" s="3321"/>
      <c r="D220" s="2020">
        <f t="shared" ref="D220:L220" si="149">+D221</f>
        <v>63832007</v>
      </c>
      <c r="E220" s="2020">
        <f t="shared" si="149"/>
        <v>7372915</v>
      </c>
      <c r="F220" s="2020">
        <f t="shared" si="149"/>
        <v>8529156</v>
      </c>
      <c r="G220" s="2020">
        <f t="shared" si="149"/>
        <v>8387101</v>
      </c>
      <c r="H220" s="2020">
        <f t="shared" si="149"/>
        <v>8229084</v>
      </c>
      <c r="I220" s="2020">
        <f t="shared" si="149"/>
        <v>8246084</v>
      </c>
      <c r="J220" s="2020">
        <f t="shared" si="149"/>
        <v>8157684</v>
      </c>
      <c r="K220" s="2020">
        <f t="shared" si="149"/>
        <v>7545683</v>
      </c>
      <c r="L220" s="2020">
        <f t="shared" si="149"/>
        <v>7364300</v>
      </c>
      <c r="M220" s="3320"/>
      <c r="N220" s="3308"/>
      <c r="O220" s="636"/>
    </row>
    <row r="221" spans="1:18" ht="15" customHeight="1" thickBot="1">
      <c r="A221" s="3306"/>
      <c r="B221" s="820" t="s">
        <v>21</v>
      </c>
      <c r="C221" s="3313"/>
      <c r="D221" s="1336">
        <f>E221+F221+G221+H221+I221+J221+K221+L221</f>
        <v>63832007</v>
      </c>
      <c r="E221" s="1336">
        <v>7372915</v>
      </c>
      <c r="F221" s="821">
        <f>8318334+10585-8500+154719+54018</f>
        <v>8529156</v>
      </c>
      <c r="G221" s="821">
        <f>8318334+68767</f>
        <v>8387101</v>
      </c>
      <c r="H221" s="821">
        <v>8229084</v>
      </c>
      <c r="I221" s="821">
        <v>8246084</v>
      </c>
      <c r="J221" s="821">
        <v>8157684</v>
      </c>
      <c r="K221" s="821">
        <v>7545683</v>
      </c>
      <c r="L221" s="821">
        <v>7364300</v>
      </c>
      <c r="M221" s="3291"/>
      <c r="N221" s="3309"/>
      <c r="O221" s="636"/>
    </row>
    <row r="222" spans="1:18" ht="24">
      <c r="A222" s="3304" t="s">
        <v>117</v>
      </c>
      <c r="B222" s="615" t="s">
        <v>389</v>
      </c>
      <c r="C222" s="616" t="s">
        <v>81</v>
      </c>
      <c r="D222" s="94"/>
      <c r="E222" s="95"/>
      <c r="F222" s="95"/>
      <c r="G222" s="95"/>
      <c r="H222" s="95"/>
      <c r="I222" s="95"/>
      <c r="J222" s="95"/>
      <c r="K222" s="95"/>
      <c r="L222" s="95"/>
      <c r="M222" s="618"/>
      <c r="N222" s="3307" t="s">
        <v>359</v>
      </c>
      <c r="O222" s="636"/>
    </row>
    <row r="223" spans="1:18">
      <c r="A223" s="3305"/>
      <c r="B223" s="1356" t="s">
        <v>10</v>
      </c>
      <c r="C223" s="1357"/>
      <c r="D223" s="927">
        <f t="shared" ref="D223:M223" si="150">+D224+D227</f>
        <v>83250</v>
      </c>
      <c r="E223" s="927">
        <f t="shared" ref="E223" si="151">+E224+E227</f>
        <v>7250</v>
      </c>
      <c r="F223" s="927">
        <f t="shared" si="150"/>
        <v>76000</v>
      </c>
      <c r="G223" s="927">
        <f t="shared" si="150"/>
        <v>0</v>
      </c>
      <c r="H223" s="927">
        <f t="shared" si="150"/>
        <v>0</v>
      </c>
      <c r="I223" s="927">
        <f t="shared" si="150"/>
        <v>0</v>
      </c>
      <c r="J223" s="927">
        <f t="shared" si="150"/>
        <v>0</v>
      </c>
      <c r="K223" s="927">
        <f t="shared" si="150"/>
        <v>0</v>
      </c>
      <c r="L223" s="927">
        <f t="shared" si="150"/>
        <v>0</v>
      </c>
      <c r="M223" s="1358">
        <f t="shared" si="150"/>
        <v>76000</v>
      </c>
      <c r="N223" s="3296"/>
      <c r="O223" s="636"/>
    </row>
    <row r="224" spans="1:18">
      <c r="A224" s="3305"/>
      <c r="B224" s="1359" t="s">
        <v>24</v>
      </c>
      <c r="C224" s="3310" t="s">
        <v>124</v>
      </c>
      <c r="D224" s="1039">
        <f t="shared" ref="D224:M224" si="152">+D225+D226</f>
        <v>12487</v>
      </c>
      <c r="E224" s="1039">
        <f t="shared" ref="E224" si="153">+E225+E226</f>
        <v>1087</v>
      </c>
      <c r="F224" s="1039">
        <f t="shared" si="152"/>
        <v>11400</v>
      </c>
      <c r="G224" s="1039">
        <f t="shared" si="152"/>
        <v>0</v>
      </c>
      <c r="H224" s="1039">
        <f t="shared" si="152"/>
        <v>0</v>
      </c>
      <c r="I224" s="1039">
        <f t="shared" si="152"/>
        <v>0</v>
      </c>
      <c r="J224" s="1039">
        <f t="shared" si="152"/>
        <v>0</v>
      </c>
      <c r="K224" s="1039">
        <f t="shared" si="152"/>
        <v>0</v>
      </c>
      <c r="L224" s="1039">
        <f t="shared" si="152"/>
        <v>0</v>
      </c>
      <c r="M224" s="1031">
        <f t="shared" si="152"/>
        <v>11400</v>
      </c>
      <c r="N224" s="3296"/>
      <c r="O224" s="636"/>
    </row>
    <row r="225" spans="1:15">
      <c r="A225" s="3305"/>
      <c r="B225" s="1360" t="s">
        <v>12</v>
      </c>
      <c r="C225" s="3311"/>
      <c r="D225" s="280">
        <f>E225+F225+G225+H225+I225+J225+K225+L225</f>
        <v>12487</v>
      </c>
      <c r="E225" s="321">
        <v>1087</v>
      </c>
      <c r="F225" s="834">
        <f>1500+9900</f>
        <v>11400</v>
      </c>
      <c r="G225" s="834"/>
      <c r="H225" s="834"/>
      <c r="I225" s="834"/>
      <c r="J225" s="834"/>
      <c r="K225" s="834"/>
      <c r="L225" s="834"/>
      <c r="M225" s="1361">
        <f>SUM(F225:L225)</f>
        <v>11400</v>
      </c>
      <c r="N225" s="3296"/>
      <c r="O225" s="636"/>
    </row>
    <row r="226" spans="1:15">
      <c r="A226" s="3305"/>
      <c r="B226" s="1360" t="s">
        <v>13</v>
      </c>
      <c r="C226" s="3311"/>
      <c r="D226" s="280">
        <f>E226+F226+G226+H226+I226+J226+K226+L226</f>
        <v>0</v>
      </c>
      <c r="E226" s="999">
        <v>0</v>
      </c>
      <c r="F226" s="999"/>
      <c r="G226" s="999"/>
      <c r="H226" s="999"/>
      <c r="I226" s="999"/>
      <c r="J226" s="999"/>
      <c r="K226" s="999"/>
      <c r="L226" s="999"/>
      <c r="M226" s="1361">
        <f>SUM(F226:G226)</f>
        <v>0</v>
      </c>
      <c r="N226" s="3296"/>
      <c r="O226" s="636"/>
    </row>
    <row r="227" spans="1:15">
      <c r="A227" s="3305"/>
      <c r="B227" s="1363" t="s">
        <v>18</v>
      </c>
      <c r="C227" s="3311"/>
      <c r="D227" s="1364">
        <f>+D228</f>
        <v>70763</v>
      </c>
      <c r="E227" s="1364">
        <f t="shared" ref="E227:M227" si="154">+E228</f>
        <v>6163</v>
      </c>
      <c r="F227" s="1364">
        <f t="shared" si="154"/>
        <v>64600</v>
      </c>
      <c r="G227" s="1364">
        <f t="shared" si="154"/>
        <v>0</v>
      </c>
      <c r="H227" s="1364">
        <f t="shared" si="154"/>
        <v>0</v>
      </c>
      <c r="I227" s="1364">
        <f t="shared" si="154"/>
        <v>0</v>
      </c>
      <c r="J227" s="1364">
        <f t="shared" si="154"/>
        <v>0</v>
      </c>
      <c r="K227" s="1364">
        <f t="shared" si="154"/>
        <v>0</v>
      </c>
      <c r="L227" s="1364">
        <f t="shared" si="154"/>
        <v>0</v>
      </c>
      <c r="M227" s="1365">
        <f t="shared" si="154"/>
        <v>64600</v>
      </c>
      <c r="N227" s="3296"/>
      <c r="O227" s="636"/>
    </row>
    <row r="228" spans="1:15">
      <c r="A228" s="3305"/>
      <c r="B228" s="1360" t="s">
        <v>21</v>
      </c>
      <c r="C228" s="3311"/>
      <c r="D228" s="280">
        <f>E228+F228+G228+H228+I228+J228+K228+L228</f>
        <v>70763</v>
      </c>
      <c r="E228" s="321">
        <v>6163</v>
      </c>
      <c r="F228" s="1367">
        <f>8500+56100</f>
        <v>64600</v>
      </c>
      <c r="G228" s="1368"/>
      <c r="H228" s="1368"/>
      <c r="I228" s="1368"/>
      <c r="J228" s="1368"/>
      <c r="K228" s="1368"/>
      <c r="L228" s="1368"/>
      <c r="M228" s="1361">
        <f>SUM(F228:L228)</f>
        <v>64600</v>
      </c>
      <c r="N228" s="3296"/>
      <c r="O228" s="636"/>
    </row>
    <row r="229" spans="1:15">
      <c r="A229" s="3305"/>
      <c r="B229" s="1356" t="s">
        <v>22</v>
      </c>
      <c r="C229" s="1357"/>
      <c r="D229" s="983">
        <f t="shared" ref="D229" si="155">+D230+D232</f>
        <v>70763</v>
      </c>
      <c r="E229" s="983">
        <f t="shared" ref="E229" si="156">+E230+E232</f>
        <v>6163</v>
      </c>
      <c r="F229" s="983">
        <f>+F230+F232</f>
        <v>64600</v>
      </c>
      <c r="G229" s="983">
        <f t="shared" ref="G229:L229" si="157">+G230+G232</f>
        <v>0</v>
      </c>
      <c r="H229" s="983">
        <f t="shared" si="157"/>
        <v>0</v>
      </c>
      <c r="I229" s="983">
        <f t="shared" si="157"/>
        <v>0</v>
      </c>
      <c r="J229" s="983">
        <f t="shared" si="157"/>
        <v>0</v>
      </c>
      <c r="K229" s="983">
        <f t="shared" si="157"/>
        <v>0</v>
      </c>
      <c r="L229" s="983">
        <f t="shared" si="157"/>
        <v>0</v>
      </c>
      <c r="M229" s="3298" t="s">
        <v>61</v>
      </c>
      <c r="N229" s="3308"/>
      <c r="O229" s="636"/>
    </row>
    <row r="230" spans="1:15">
      <c r="A230" s="3305"/>
      <c r="B230" s="1359" t="s">
        <v>24</v>
      </c>
      <c r="C230" s="3312" t="s">
        <v>277</v>
      </c>
      <c r="D230" s="1364">
        <f t="shared" ref="D230:L230" si="158">+D231</f>
        <v>0</v>
      </c>
      <c r="E230" s="1364">
        <f t="shared" si="158"/>
        <v>0</v>
      </c>
      <c r="F230" s="1364">
        <f t="shared" si="158"/>
        <v>0</v>
      </c>
      <c r="G230" s="1364">
        <f t="shared" si="158"/>
        <v>0</v>
      </c>
      <c r="H230" s="1364">
        <f t="shared" si="158"/>
        <v>0</v>
      </c>
      <c r="I230" s="1364">
        <f t="shared" si="158"/>
        <v>0</v>
      </c>
      <c r="J230" s="1364">
        <f t="shared" si="158"/>
        <v>0</v>
      </c>
      <c r="K230" s="1364">
        <f t="shared" si="158"/>
        <v>0</v>
      </c>
      <c r="L230" s="1364">
        <f t="shared" si="158"/>
        <v>0</v>
      </c>
      <c r="M230" s="3298"/>
      <c r="N230" s="3308"/>
      <c r="O230" s="636"/>
    </row>
    <row r="231" spans="1:15">
      <c r="A231" s="3305"/>
      <c r="B231" s="1360" t="s">
        <v>13</v>
      </c>
      <c r="C231" s="3312"/>
      <c r="D231" s="280">
        <f>E231+F231+G231+H231+I231+J231+K231+L231</f>
        <v>0</v>
      </c>
      <c r="E231" s="1362"/>
      <c r="F231" s="1362"/>
      <c r="G231" s="1362"/>
      <c r="H231" s="1362"/>
      <c r="I231" s="1362"/>
      <c r="J231" s="1362"/>
      <c r="K231" s="1362"/>
      <c r="L231" s="1362"/>
      <c r="M231" s="3298"/>
      <c r="N231" s="3308"/>
      <c r="O231" s="636"/>
    </row>
    <row r="232" spans="1:15">
      <c r="A232" s="3305"/>
      <c r="B232" s="1363" t="s">
        <v>18</v>
      </c>
      <c r="C232" s="3312"/>
      <c r="D232" s="1364">
        <f t="shared" ref="D232:L232" si="159">+D233</f>
        <v>70763</v>
      </c>
      <c r="E232" s="1364">
        <f t="shared" si="159"/>
        <v>6163</v>
      </c>
      <c r="F232" s="1364">
        <f t="shared" si="159"/>
        <v>64600</v>
      </c>
      <c r="G232" s="1364">
        <f t="shared" si="159"/>
        <v>0</v>
      </c>
      <c r="H232" s="1364">
        <f t="shared" si="159"/>
        <v>0</v>
      </c>
      <c r="I232" s="1364">
        <f t="shared" si="159"/>
        <v>0</v>
      </c>
      <c r="J232" s="1364">
        <f t="shared" si="159"/>
        <v>0</v>
      </c>
      <c r="K232" s="1364">
        <f t="shared" si="159"/>
        <v>0</v>
      </c>
      <c r="L232" s="1364">
        <f t="shared" si="159"/>
        <v>0</v>
      </c>
      <c r="M232" s="3298"/>
      <c r="N232" s="3308"/>
      <c r="O232" s="636"/>
    </row>
    <row r="233" spans="1:15" ht="13.5" thickBot="1">
      <c r="A233" s="3306"/>
      <c r="B233" s="820" t="s">
        <v>21</v>
      </c>
      <c r="C233" s="3313"/>
      <c r="D233" s="280">
        <f>E233+F233+G233+H233+I233+J233+K233+L233</f>
        <v>70763</v>
      </c>
      <c r="E233" s="321">
        <v>6163</v>
      </c>
      <c r="F233" s="821">
        <f>8500+56100</f>
        <v>64600</v>
      </c>
      <c r="G233" s="821"/>
      <c r="H233" s="821"/>
      <c r="I233" s="821"/>
      <c r="J233" s="821"/>
      <c r="K233" s="821"/>
      <c r="L233" s="821"/>
      <c r="M233" s="3291"/>
      <c r="N233" s="3309"/>
      <c r="O233" s="636"/>
    </row>
    <row r="234" spans="1:15" ht="36.75" customHeight="1">
      <c r="A234" s="3280" t="s">
        <v>471</v>
      </c>
      <c r="B234" s="2066" t="s">
        <v>472</v>
      </c>
      <c r="C234" s="2067" t="s">
        <v>111</v>
      </c>
      <c r="D234" s="66"/>
      <c r="E234" s="43"/>
      <c r="F234" s="43"/>
      <c r="G234" s="43"/>
      <c r="H234" s="43"/>
      <c r="I234" s="43"/>
      <c r="J234" s="43"/>
      <c r="K234" s="43"/>
      <c r="L234" s="43"/>
      <c r="M234" s="819"/>
      <c r="N234" s="3284" t="s">
        <v>356</v>
      </c>
    </row>
    <row r="235" spans="1:15">
      <c r="A235" s="3281"/>
      <c r="B235" s="2846" t="s">
        <v>10</v>
      </c>
      <c r="C235" s="2068"/>
      <c r="D235" s="2847">
        <f t="shared" ref="D235:M235" si="160">+D236+D240</f>
        <v>1698344</v>
      </c>
      <c r="E235" s="2848">
        <f t="shared" ref="E235" si="161">+E236+E240</f>
        <v>0</v>
      </c>
      <c r="F235" s="2848">
        <f t="shared" si="160"/>
        <v>788057</v>
      </c>
      <c r="G235" s="2848">
        <f t="shared" si="160"/>
        <v>910287</v>
      </c>
      <c r="H235" s="2848">
        <f t="shared" si="160"/>
        <v>0</v>
      </c>
      <c r="I235" s="2848">
        <f t="shared" si="160"/>
        <v>0</v>
      </c>
      <c r="J235" s="2848">
        <f t="shared" si="160"/>
        <v>0</v>
      </c>
      <c r="K235" s="2848">
        <f t="shared" si="160"/>
        <v>0</v>
      </c>
      <c r="L235" s="2848">
        <f t="shared" si="160"/>
        <v>0</v>
      </c>
      <c r="M235" s="2849">
        <f t="shared" si="160"/>
        <v>1698344</v>
      </c>
      <c r="N235" s="3285"/>
    </row>
    <row r="236" spans="1:15">
      <c r="A236" s="3281"/>
      <c r="B236" s="2850" t="s">
        <v>24</v>
      </c>
      <c r="C236" s="3302" t="s">
        <v>352</v>
      </c>
      <c r="D236" s="2851">
        <f>+D237</f>
        <v>254752</v>
      </c>
      <c r="E236" s="2851">
        <f t="shared" ref="E236" si="162">+E237</f>
        <v>0</v>
      </c>
      <c r="F236" s="2851">
        <f t="shared" ref="F236:M236" si="163">+F237</f>
        <v>118209</v>
      </c>
      <c r="G236" s="2851">
        <f t="shared" si="163"/>
        <v>136543</v>
      </c>
      <c r="H236" s="2851">
        <f t="shared" si="163"/>
        <v>0</v>
      </c>
      <c r="I236" s="2851">
        <f t="shared" si="163"/>
        <v>0</v>
      </c>
      <c r="J236" s="2851">
        <f t="shared" si="163"/>
        <v>0</v>
      </c>
      <c r="K236" s="2851">
        <f t="shared" si="163"/>
        <v>0</v>
      </c>
      <c r="L236" s="2851">
        <f t="shared" si="163"/>
        <v>0</v>
      </c>
      <c r="M236" s="2852">
        <f t="shared" si="163"/>
        <v>254752</v>
      </c>
      <c r="N236" s="3285"/>
    </row>
    <row r="237" spans="1:15">
      <c r="A237" s="3281"/>
      <c r="B237" s="2853" t="s">
        <v>12</v>
      </c>
      <c r="C237" s="3303"/>
      <c r="D237" s="2819">
        <f>E237+F237+G237+H237+I237+J237+K237+L237</f>
        <v>254752</v>
      </c>
      <c r="E237" s="2854">
        <v>0</v>
      </c>
      <c r="F237" s="2855">
        <f t="shared" ref="F237:L237" si="164">+F238+F239</f>
        <v>118209</v>
      </c>
      <c r="G237" s="2856">
        <f t="shared" si="164"/>
        <v>136543</v>
      </c>
      <c r="H237" s="2856">
        <f t="shared" si="164"/>
        <v>0</v>
      </c>
      <c r="I237" s="2856">
        <f t="shared" si="164"/>
        <v>0</v>
      </c>
      <c r="J237" s="2856">
        <f t="shared" si="164"/>
        <v>0</v>
      </c>
      <c r="K237" s="2856">
        <f t="shared" si="164"/>
        <v>0</v>
      </c>
      <c r="L237" s="2856">
        <f t="shared" si="164"/>
        <v>0</v>
      </c>
      <c r="M237" s="2857">
        <f>SUM(F237:L237)</f>
        <v>254752</v>
      </c>
      <c r="N237" s="3285"/>
    </row>
    <row r="238" spans="1:15" hidden="1">
      <c r="A238" s="3281"/>
      <c r="B238" s="2853" t="s">
        <v>326</v>
      </c>
      <c r="C238" s="3303"/>
      <c r="D238" s="2858">
        <f>SUM(E238:L238)</f>
        <v>66119</v>
      </c>
      <c r="E238" s="2856">
        <v>0</v>
      </c>
      <c r="F238" s="2855">
        <v>31970</v>
      </c>
      <c r="G238" s="2856">
        <v>34149</v>
      </c>
      <c r="H238" s="2856"/>
      <c r="I238" s="2856"/>
      <c r="J238" s="2856"/>
      <c r="K238" s="2856"/>
      <c r="L238" s="2856"/>
      <c r="M238" s="2857"/>
      <c r="N238" s="3285"/>
    </row>
    <row r="239" spans="1:15" hidden="1">
      <c r="A239" s="3281"/>
      <c r="B239" s="2853" t="s">
        <v>350</v>
      </c>
      <c r="C239" s="3303"/>
      <c r="D239" s="2858">
        <f>SUM(E239:L239)</f>
        <v>188633</v>
      </c>
      <c r="E239" s="2856">
        <v>0</v>
      </c>
      <c r="F239" s="2855">
        <v>86239</v>
      </c>
      <c r="G239" s="2856">
        <v>102394</v>
      </c>
      <c r="H239" s="2856"/>
      <c r="I239" s="2856"/>
      <c r="J239" s="2856"/>
      <c r="K239" s="2856"/>
      <c r="L239" s="2856"/>
      <c r="M239" s="2857"/>
      <c r="N239" s="3285"/>
    </row>
    <row r="240" spans="1:15">
      <c r="A240" s="3281"/>
      <c r="B240" s="2850" t="s">
        <v>18</v>
      </c>
      <c r="C240" s="3303"/>
      <c r="D240" s="2859">
        <f>+D241</f>
        <v>1443592</v>
      </c>
      <c r="E240" s="2859">
        <f t="shared" ref="E240:L240" si="165">+E241</f>
        <v>0</v>
      </c>
      <c r="F240" s="2859">
        <f t="shared" si="165"/>
        <v>669848</v>
      </c>
      <c r="G240" s="2859">
        <f t="shared" si="165"/>
        <v>773744</v>
      </c>
      <c r="H240" s="2859">
        <f t="shared" si="165"/>
        <v>0</v>
      </c>
      <c r="I240" s="2859">
        <f t="shared" si="165"/>
        <v>0</v>
      </c>
      <c r="J240" s="2859">
        <f t="shared" si="165"/>
        <v>0</v>
      </c>
      <c r="K240" s="2859">
        <f t="shared" si="165"/>
        <v>0</v>
      </c>
      <c r="L240" s="2859">
        <f t="shared" si="165"/>
        <v>0</v>
      </c>
      <c r="M240" s="2860">
        <f>+M241</f>
        <v>1443592</v>
      </c>
      <c r="N240" s="3285"/>
    </row>
    <row r="241" spans="1:15">
      <c r="A241" s="3281"/>
      <c r="B241" s="2853" t="s">
        <v>21</v>
      </c>
      <c r="C241" s="3303"/>
      <c r="D241" s="2819">
        <f>E241+F241+G241+H241+I241+J241+K241+L241</f>
        <v>1443592</v>
      </c>
      <c r="E241" s="2854">
        <v>0</v>
      </c>
      <c r="F241" s="2856">
        <f t="shared" ref="F241:L241" si="166">+F242+F243</f>
        <v>669848</v>
      </c>
      <c r="G241" s="2856">
        <f t="shared" si="166"/>
        <v>773744</v>
      </c>
      <c r="H241" s="2856">
        <f t="shared" si="166"/>
        <v>0</v>
      </c>
      <c r="I241" s="2856">
        <f t="shared" si="166"/>
        <v>0</v>
      </c>
      <c r="J241" s="2856">
        <f t="shared" si="166"/>
        <v>0</v>
      </c>
      <c r="K241" s="2856">
        <f t="shared" si="166"/>
        <v>0</v>
      </c>
      <c r="L241" s="2856">
        <f t="shared" si="166"/>
        <v>0</v>
      </c>
      <c r="M241" s="2857">
        <f>SUM(F241:L241)</f>
        <v>1443592</v>
      </c>
      <c r="N241" s="3285"/>
    </row>
    <row r="242" spans="1:15" hidden="1">
      <c r="A242" s="3281"/>
      <c r="B242" s="2853" t="s">
        <v>326</v>
      </c>
      <c r="C242" s="3006"/>
      <c r="D242" s="2858">
        <f>SUM(E242:L242)</f>
        <v>374677</v>
      </c>
      <c r="E242" s="2856">
        <v>0</v>
      </c>
      <c r="F242" s="2856">
        <v>181163</v>
      </c>
      <c r="G242" s="2856">
        <v>193514</v>
      </c>
      <c r="H242" s="2856"/>
      <c r="I242" s="2856"/>
      <c r="J242" s="2856"/>
      <c r="K242" s="2856"/>
      <c r="L242" s="2856"/>
      <c r="M242" s="2857"/>
      <c r="N242" s="3285"/>
    </row>
    <row r="243" spans="1:15" hidden="1">
      <c r="A243" s="3281"/>
      <c r="B243" s="2853" t="s">
        <v>350</v>
      </c>
      <c r="C243" s="3006"/>
      <c r="D243" s="2858">
        <f>SUM(E243:L243)</f>
        <v>1068915</v>
      </c>
      <c r="E243" s="2856">
        <v>0</v>
      </c>
      <c r="F243" s="2856">
        <v>488685</v>
      </c>
      <c r="G243" s="2856">
        <v>580230</v>
      </c>
      <c r="H243" s="2856"/>
      <c r="I243" s="2856"/>
      <c r="J243" s="2856"/>
      <c r="K243" s="2856"/>
      <c r="L243" s="2856"/>
      <c r="M243" s="2857"/>
      <c r="N243" s="3285"/>
    </row>
    <row r="244" spans="1:15">
      <c r="A244" s="3282"/>
      <c r="B244" s="2846" t="s">
        <v>22</v>
      </c>
      <c r="C244" s="2861"/>
      <c r="D244" s="2862">
        <f>D245</f>
        <v>1443592</v>
      </c>
      <c r="E244" s="2862">
        <f>+E245</f>
        <v>0</v>
      </c>
      <c r="F244" s="2862">
        <f>+F245</f>
        <v>669848</v>
      </c>
      <c r="G244" s="2862">
        <f>+G245</f>
        <v>773744</v>
      </c>
      <c r="H244" s="2862">
        <f>+H245</f>
        <v>0</v>
      </c>
      <c r="I244" s="2862">
        <f>I245</f>
        <v>0</v>
      </c>
      <c r="J244" s="2862">
        <f>+J245</f>
        <v>0</v>
      </c>
      <c r="K244" s="2862">
        <f>+K245</f>
        <v>0</v>
      </c>
      <c r="L244" s="2862">
        <f>L245</f>
        <v>0</v>
      </c>
      <c r="M244" s="3290" t="s">
        <v>61</v>
      </c>
      <c r="N244" s="3286"/>
    </row>
    <row r="245" spans="1:15">
      <c r="A245" s="3282"/>
      <c r="B245" s="2850" t="s">
        <v>18</v>
      </c>
      <c r="C245" s="3292" t="s">
        <v>474</v>
      </c>
      <c r="D245" s="2859">
        <f t="shared" ref="D245:L245" si="167">+D246</f>
        <v>1443592</v>
      </c>
      <c r="E245" s="2859">
        <f t="shared" si="167"/>
        <v>0</v>
      </c>
      <c r="F245" s="2859">
        <f t="shared" si="167"/>
        <v>669848</v>
      </c>
      <c r="G245" s="2859">
        <f t="shared" si="167"/>
        <v>773744</v>
      </c>
      <c r="H245" s="2859">
        <f t="shared" si="167"/>
        <v>0</v>
      </c>
      <c r="I245" s="2859">
        <f t="shared" si="167"/>
        <v>0</v>
      </c>
      <c r="J245" s="2859">
        <f t="shared" si="167"/>
        <v>0</v>
      </c>
      <c r="K245" s="2859">
        <f t="shared" si="167"/>
        <v>0</v>
      </c>
      <c r="L245" s="2859">
        <f t="shared" si="167"/>
        <v>0</v>
      </c>
      <c r="M245" s="3290"/>
      <c r="N245" s="3286"/>
    </row>
    <row r="246" spans="1:15" ht="13.5" thickBot="1">
      <c r="A246" s="3283"/>
      <c r="B246" s="820" t="s">
        <v>21</v>
      </c>
      <c r="C246" s="3293"/>
      <c r="D246" s="1337">
        <f>E246+F246+G246+H246+I246+J246+K246+L246</f>
        <v>1443592</v>
      </c>
      <c r="E246" s="1337">
        <v>0</v>
      </c>
      <c r="F246" s="620">
        <v>669848</v>
      </c>
      <c r="G246" s="620">
        <v>773744</v>
      </c>
      <c r="H246" s="620">
        <v>0</v>
      </c>
      <c r="I246" s="620">
        <v>0</v>
      </c>
      <c r="J246" s="620">
        <v>0</v>
      </c>
      <c r="K246" s="620">
        <v>0</v>
      </c>
      <c r="L246" s="620">
        <v>0</v>
      </c>
      <c r="M246" s="3291"/>
      <c r="N246" s="3287"/>
    </row>
    <row r="247" spans="1:15" ht="40.5" customHeight="1">
      <c r="A247" s="3280" t="s">
        <v>473</v>
      </c>
      <c r="B247" s="2066" t="s">
        <v>491</v>
      </c>
      <c r="C247" s="2067" t="s">
        <v>111</v>
      </c>
      <c r="D247" s="66"/>
      <c r="E247" s="43"/>
      <c r="F247" s="43"/>
      <c r="G247" s="43"/>
      <c r="H247" s="43"/>
      <c r="I247" s="43"/>
      <c r="J247" s="43"/>
      <c r="K247" s="43"/>
      <c r="L247" s="43"/>
      <c r="M247" s="819"/>
      <c r="N247" s="3284" t="s">
        <v>479</v>
      </c>
      <c r="O247" s="467" t="s">
        <v>498</v>
      </c>
    </row>
    <row r="248" spans="1:15" ht="16.149999999999999" customHeight="1">
      <c r="A248" s="3294"/>
      <c r="B248" s="1356" t="s">
        <v>10</v>
      </c>
      <c r="C248" s="2068"/>
      <c r="D248" s="1477">
        <f>+D249</f>
        <v>12836659</v>
      </c>
      <c r="E248" s="927">
        <f t="shared" ref="E248" si="168">+E249</f>
        <v>0</v>
      </c>
      <c r="F248" s="927">
        <f t="shared" ref="F248:H248" si="169">+F249</f>
        <v>4293000</v>
      </c>
      <c r="G248" s="927">
        <f t="shared" si="169"/>
        <v>5291500</v>
      </c>
      <c r="H248" s="927">
        <f t="shared" si="169"/>
        <v>3252159</v>
      </c>
      <c r="I248" s="927">
        <f t="shared" ref="I248" si="170">+I249</f>
        <v>0</v>
      </c>
      <c r="J248" s="927">
        <f t="shared" ref="J248" si="171">+J249</f>
        <v>0</v>
      </c>
      <c r="K248" s="927">
        <f t="shared" ref="K248" si="172">+K249</f>
        <v>0</v>
      </c>
      <c r="L248" s="927">
        <f t="shared" ref="L248" si="173">+L249</f>
        <v>0</v>
      </c>
      <c r="M248" s="1358">
        <f>+M249</f>
        <v>12836659</v>
      </c>
      <c r="N248" s="3296"/>
    </row>
    <row r="249" spans="1:15" ht="16.899999999999999" customHeight="1">
      <c r="A249" s="3294"/>
      <c r="B249" s="2263" t="s">
        <v>18</v>
      </c>
      <c r="C249" s="3299" t="s">
        <v>480</v>
      </c>
      <c r="D249" s="1364">
        <f>+D250</f>
        <v>12836659</v>
      </c>
      <c r="E249" s="1364">
        <f>+E250</f>
        <v>0</v>
      </c>
      <c r="F249" s="1364">
        <f>+F250</f>
        <v>4293000</v>
      </c>
      <c r="G249" s="1364">
        <f t="shared" ref="G249:L249" si="174">+G250</f>
        <v>5291500</v>
      </c>
      <c r="H249" s="1364">
        <f t="shared" si="174"/>
        <v>3252159</v>
      </c>
      <c r="I249" s="1364">
        <f t="shared" si="174"/>
        <v>0</v>
      </c>
      <c r="J249" s="1364">
        <f t="shared" si="174"/>
        <v>0</v>
      </c>
      <c r="K249" s="1364">
        <f t="shared" si="174"/>
        <v>0</v>
      </c>
      <c r="L249" s="1364">
        <f t="shared" si="174"/>
        <v>0</v>
      </c>
      <c r="M249" s="1503">
        <f>+M250</f>
        <v>12836659</v>
      </c>
      <c r="N249" s="3296"/>
    </row>
    <row r="250" spans="1:15" ht="19.5" customHeight="1">
      <c r="A250" s="3294"/>
      <c r="B250" s="1402" t="s">
        <v>21</v>
      </c>
      <c r="C250" s="3300"/>
      <c r="D250" s="280">
        <f>E250+F250+G250+H250+I250+J250+K250+L250</f>
        <v>12836659</v>
      </c>
      <c r="E250" s="321">
        <v>0</v>
      </c>
      <c r="F250" s="999">
        <f>+F251+F252+F253+F254+F255</f>
        <v>4293000</v>
      </c>
      <c r="G250" s="999">
        <f t="shared" ref="G250:H250" si="175">+G251+G252+G253+G254+G255</f>
        <v>5291500</v>
      </c>
      <c r="H250" s="999">
        <f t="shared" si="175"/>
        <v>3252159</v>
      </c>
      <c r="I250" s="999">
        <f t="shared" ref="I250" si="176">+I251+I252+I253+I254+I255</f>
        <v>0</v>
      </c>
      <c r="J250" s="999">
        <f t="shared" ref="J250" si="177">+J251+J252+J253+J254+J255</f>
        <v>0</v>
      </c>
      <c r="K250" s="999">
        <f t="shared" ref="K250" si="178">+K251+K252+K253+K254+K255</f>
        <v>0</v>
      </c>
      <c r="L250" s="999">
        <f t="shared" ref="L250" si="179">+L251+L252+L253+L254+L255</f>
        <v>0</v>
      </c>
      <c r="M250" s="1361">
        <f>SUM(F250:L250)</f>
        <v>12836659</v>
      </c>
      <c r="N250" s="3296"/>
    </row>
    <row r="251" spans="1:15" hidden="1">
      <c r="A251" s="3294"/>
      <c r="B251" s="1360" t="s">
        <v>477</v>
      </c>
      <c r="C251" s="3300"/>
      <c r="D251" s="1362">
        <f>SUM(E251:L251)</f>
        <v>7913159</v>
      </c>
      <c r="E251" s="999">
        <v>0</v>
      </c>
      <c r="F251" s="999">
        <v>2700000</v>
      </c>
      <c r="G251" s="999">
        <v>3169000</v>
      </c>
      <c r="H251" s="999">
        <v>2044159</v>
      </c>
      <c r="I251" s="999">
        <v>0</v>
      </c>
      <c r="J251" s="999">
        <v>0</v>
      </c>
      <c r="K251" s="999">
        <v>0</v>
      </c>
      <c r="L251" s="999">
        <v>0</v>
      </c>
      <c r="M251" s="1361"/>
      <c r="N251" s="3296"/>
    </row>
    <row r="252" spans="1:15" hidden="1">
      <c r="A252" s="3294"/>
      <c r="B252" s="1360" t="s">
        <v>478</v>
      </c>
      <c r="C252" s="3300"/>
      <c r="D252" s="1362">
        <f>SUM(E252:L252)</f>
        <v>1154500</v>
      </c>
      <c r="E252" s="999">
        <v>0</v>
      </c>
      <c r="F252" s="999">
        <v>293500</v>
      </c>
      <c r="G252" s="999">
        <v>483000</v>
      </c>
      <c r="H252" s="999">
        <v>378000</v>
      </c>
      <c r="I252" s="999">
        <v>0</v>
      </c>
      <c r="J252" s="999">
        <v>0</v>
      </c>
      <c r="K252" s="999">
        <v>0</v>
      </c>
      <c r="L252" s="999">
        <v>0</v>
      </c>
      <c r="M252" s="1361"/>
      <c r="N252" s="3296"/>
    </row>
    <row r="253" spans="1:15" s="1996" customFormat="1" hidden="1">
      <c r="A253" s="3294"/>
      <c r="B253" s="2016" t="s">
        <v>112</v>
      </c>
      <c r="C253" s="3300"/>
      <c r="D253" s="1362">
        <f>SUM(E253:L253)</f>
        <v>825000</v>
      </c>
      <c r="E253" s="1995">
        <v>0</v>
      </c>
      <c r="F253" s="1995">
        <f>174000-30000</f>
        <v>144000</v>
      </c>
      <c r="G253" s="1995">
        <v>453000</v>
      </c>
      <c r="H253" s="1995">
        <v>228000</v>
      </c>
      <c r="I253" s="1995">
        <v>0</v>
      </c>
      <c r="J253" s="1995">
        <v>0</v>
      </c>
      <c r="K253" s="1995">
        <v>0</v>
      </c>
      <c r="L253" s="1995">
        <v>0</v>
      </c>
      <c r="M253" s="2017"/>
      <c r="N253" s="3296"/>
    </row>
    <row r="254" spans="1:15" s="1996" customFormat="1" hidden="1">
      <c r="A254" s="3294"/>
      <c r="B254" s="2016" t="s">
        <v>249</v>
      </c>
      <c r="C254" s="3300"/>
      <c r="D254" s="1362">
        <f>SUM(E254:L254)</f>
        <v>2284000</v>
      </c>
      <c r="E254" s="1995">
        <v>0</v>
      </c>
      <c r="F254" s="1995">
        <v>1015500</v>
      </c>
      <c r="G254" s="1995">
        <v>926500</v>
      </c>
      <c r="H254" s="1995">
        <v>342000</v>
      </c>
      <c r="I254" s="1995">
        <v>0</v>
      </c>
      <c r="J254" s="1995">
        <v>0</v>
      </c>
      <c r="K254" s="1995">
        <v>0</v>
      </c>
      <c r="L254" s="1995">
        <v>0</v>
      </c>
      <c r="M254" s="2017"/>
      <c r="N254" s="3296"/>
    </row>
    <row r="255" spans="1:15" s="1996" customFormat="1" hidden="1">
      <c r="A255" s="3294"/>
      <c r="B255" s="2016" t="s">
        <v>326</v>
      </c>
      <c r="C255" s="3301"/>
      <c r="D255" s="1362">
        <f>SUM(E255:L255)</f>
        <v>660000</v>
      </c>
      <c r="E255" s="1995">
        <v>0</v>
      </c>
      <c r="F255" s="1995">
        <v>140000</v>
      </c>
      <c r="G255" s="1995">
        <v>260000</v>
      </c>
      <c r="H255" s="1995">
        <v>260000</v>
      </c>
      <c r="I255" s="1995">
        <v>0</v>
      </c>
      <c r="J255" s="1995">
        <v>0</v>
      </c>
      <c r="K255" s="1995">
        <v>0</v>
      </c>
      <c r="L255" s="1995">
        <v>0</v>
      </c>
      <c r="M255" s="2017"/>
      <c r="N255" s="3296"/>
    </row>
    <row r="256" spans="1:15">
      <c r="A256" s="3295"/>
      <c r="B256" s="1356" t="s">
        <v>22</v>
      </c>
      <c r="C256" s="1357"/>
      <c r="D256" s="1366">
        <f>D257</f>
        <v>12836659</v>
      </c>
      <c r="E256" s="1366">
        <f>+E257</f>
        <v>0</v>
      </c>
      <c r="F256" s="1366">
        <f>+F257</f>
        <v>4293000</v>
      </c>
      <c r="G256" s="1366">
        <f>+G257</f>
        <v>5291500</v>
      </c>
      <c r="H256" s="1366">
        <f>+H257</f>
        <v>3252159</v>
      </c>
      <c r="I256" s="1366">
        <f>I257</f>
        <v>0</v>
      </c>
      <c r="J256" s="1366">
        <f>+J257</f>
        <v>0</v>
      </c>
      <c r="K256" s="1366">
        <f>+K257</f>
        <v>0</v>
      </c>
      <c r="L256" s="1366">
        <f>L257</f>
        <v>0</v>
      </c>
      <c r="M256" s="3298" t="s">
        <v>61</v>
      </c>
      <c r="N256" s="3297"/>
    </row>
    <row r="257" spans="1:15" ht="15" customHeight="1">
      <c r="A257" s="3295"/>
      <c r="B257" s="1359" t="s">
        <v>18</v>
      </c>
      <c r="C257" s="3292" t="s">
        <v>475</v>
      </c>
      <c r="D257" s="1364">
        <f t="shared" ref="D257:L257" si="180">+D258</f>
        <v>12836659</v>
      </c>
      <c r="E257" s="1364">
        <f t="shared" si="180"/>
        <v>0</v>
      </c>
      <c r="F257" s="1364">
        <f t="shared" si="180"/>
        <v>4293000</v>
      </c>
      <c r="G257" s="1364">
        <f t="shared" si="180"/>
        <v>5291500</v>
      </c>
      <c r="H257" s="1364">
        <f t="shared" si="180"/>
        <v>3252159</v>
      </c>
      <c r="I257" s="1364">
        <f t="shared" si="180"/>
        <v>0</v>
      </c>
      <c r="J257" s="1364">
        <f t="shared" si="180"/>
        <v>0</v>
      </c>
      <c r="K257" s="1364">
        <f t="shared" si="180"/>
        <v>0</v>
      </c>
      <c r="L257" s="1364">
        <f t="shared" si="180"/>
        <v>0</v>
      </c>
      <c r="M257" s="3298"/>
      <c r="N257" s="3297"/>
    </row>
    <row r="258" spans="1:15" ht="13.5" thickBot="1">
      <c r="A258" s="3283"/>
      <c r="B258" s="820" t="s">
        <v>21</v>
      </c>
      <c r="C258" s="3293"/>
      <c r="D258" s="280">
        <f>E258+F258+G258+H258+I258+J258+K258+L258</f>
        <v>12836659</v>
      </c>
      <c r="E258" s="1336">
        <v>0</v>
      </c>
      <c r="F258" s="620">
        <f>4323000-30000</f>
        <v>4293000</v>
      </c>
      <c r="G258" s="620">
        <v>5291500</v>
      </c>
      <c r="H258" s="620">
        <v>3252159</v>
      </c>
      <c r="I258" s="620">
        <v>0</v>
      </c>
      <c r="J258" s="620">
        <v>0</v>
      </c>
      <c r="K258" s="620">
        <v>0</v>
      </c>
      <c r="L258" s="620">
        <v>0</v>
      </c>
      <c r="M258" s="3291"/>
      <c r="N258" s="3287"/>
    </row>
    <row r="259" spans="1:15" ht="39" customHeight="1">
      <c r="A259" s="3280" t="s">
        <v>476</v>
      </c>
      <c r="B259" s="2066" t="s">
        <v>492</v>
      </c>
      <c r="C259" s="2067" t="s">
        <v>81</v>
      </c>
      <c r="D259" s="66"/>
      <c r="E259" s="43"/>
      <c r="F259" s="43"/>
      <c r="G259" s="43"/>
      <c r="H259" s="43"/>
      <c r="I259" s="43"/>
      <c r="J259" s="43"/>
      <c r="K259" s="43"/>
      <c r="L259" s="43"/>
      <c r="M259" s="819"/>
      <c r="N259" s="3284" t="s">
        <v>481</v>
      </c>
    </row>
    <row r="260" spans="1:15">
      <c r="A260" s="3281"/>
      <c r="B260" s="2846" t="s">
        <v>10</v>
      </c>
      <c r="C260" s="2068"/>
      <c r="D260" s="2847">
        <f>+D261</f>
        <v>780000</v>
      </c>
      <c r="E260" s="2848">
        <f t="shared" ref="E260" si="181">E261</f>
        <v>0</v>
      </c>
      <c r="F260" s="2848">
        <f t="shared" ref="F260:L260" si="182">F261</f>
        <v>140000</v>
      </c>
      <c r="G260" s="2848">
        <f t="shared" si="182"/>
        <v>520000</v>
      </c>
      <c r="H260" s="2848">
        <f t="shared" si="182"/>
        <v>120000</v>
      </c>
      <c r="I260" s="2848">
        <f t="shared" si="182"/>
        <v>0</v>
      </c>
      <c r="J260" s="2848">
        <f t="shared" si="182"/>
        <v>0</v>
      </c>
      <c r="K260" s="2848">
        <f t="shared" si="182"/>
        <v>0</v>
      </c>
      <c r="L260" s="2848">
        <f t="shared" si="182"/>
        <v>0</v>
      </c>
      <c r="M260" s="2849">
        <f>M261</f>
        <v>780000</v>
      </c>
      <c r="N260" s="3285"/>
      <c r="O260" s="467" t="s">
        <v>498</v>
      </c>
    </row>
    <row r="261" spans="1:15" ht="13.15" customHeight="1">
      <c r="A261" s="3281"/>
      <c r="B261" s="2850" t="s">
        <v>18</v>
      </c>
      <c r="C261" s="3288" t="s">
        <v>482</v>
      </c>
      <c r="D261" s="2859">
        <f>+D262</f>
        <v>780000</v>
      </c>
      <c r="E261" s="2859">
        <f t="shared" ref="E261:L261" si="183">+E262</f>
        <v>0</v>
      </c>
      <c r="F261" s="2859">
        <f t="shared" si="183"/>
        <v>140000</v>
      </c>
      <c r="G261" s="2859">
        <f t="shared" si="183"/>
        <v>520000</v>
      </c>
      <c r="H261" s="2859">
        <f t="shared" si="183"/>
        <v>120000</v>
      </c>
      <c r="I261" s="2859">
        <f t="shared" si="183"/>
        <v>0</v>
      </c>
      <c r="J261" s="2859">
        <f t="shared" si="183"/>
        <v>0</v>
      </c>
      <c r="K261" s="2859">
        <f t="shared" si="183"/>
        <v>0</v>
      </c>
      <c r="L261" s="2859">
        <f t="shared" si="183"/>
        <v>0</v>
      </c>
      <c r="M261" s="2860">
        <f>+M262</f>
        <v>780000</v>
      </c>
      <c r="N261" s="3285"/>
    </row>
    <row r="262" spans="1:15">
      <c r="A262" s="3281"/>
      <c r="B262" s="2853" t="s">
        <v>21</v>
      </c>
      <c r="C262" s="3289"/>
      <c r="D262" s="2819">
        <f>E262+F262+G262+H262+I262+J262+K262+L262</f>
        <v>780000</v>
      </c>
      <c r="E262" s="2854">
        <v>0</v>
      </c>
      <c r="F262" s="2856">
        <f>+F263+F264+F265</f>
        <v>140000</v>
      </c>
      <c r="G262" s="2856">
        <f t="shared" ref="G262:K262" si="184">+G263+G264+G265</f>
        <v>520000</v>
      </c>
      <c r="H262" s="2856">
        <f t="shared" si="184"/>
        <v>120000</v>
      </c>
      <c r="I262" s="2856">
        <f t="shared" si="184"/>
        <v>0</v>
      </c>
      <c r="J262" s="2856">
        <f t="shared" si="184"/>
        <v>0</v>
      </c>
      <c r="K262" s="2856">
        <f t="shared" si="184"/>
        <v>0</v>
      </c>
      <c r="L262" s="2856">
        <f t="shared" ref="L262" si="185">+L263+L264</f>
        <v>0</v>
      </c>
      <c r="M262" s="2857">
        <f>SUM(F262:L262)</f>
        <v>780000</v>
      </c>
      <c r="N262" s="3285"/>
    </row>
    <row r="263" spans="1:15" ht="12" hidden="1" customHeight="1">
      <c r="A263" s="3281"/>
      <c r="B263" s="2853" t="s">
        <v>477</v>
      </c>
      <c r="C263" s="3045"/>
      <c r="D263" s="2858">
        <f>SUM(E263:L263)</f>
        <v>630000</v>
      </c>
      <c r="E263" s="2856">
        <v>0</v>
      </c>
      <c r="F263" s="2856">
        <v>30000</v>
      </c>
      <c r="G263" s="2856">
        <v>500000</v>
      </c>
      <c r="H263" s="2856">
        <v>100000</v>
      </c>
      <c r="I263" s="2856">
        <v>0</v>
      </c>
      <c r="J263" s="2856">
        <v>0</v>
      </c>
      <c r="K263" s="2856">
        <v>0</v>
      </c>
      <c r="L263" s="2856">
        <v>0</v>
      </c>
      <c r="M263" s="2857"/>
      <c r="N263" s="3285"/>
    </row>
    <row r="264" spans="1:15" ht="12" hidden="1" customHeight="1">
      <c r="A264" s="3281"/>
      <c r="B264" s="2853" t="s">
        <v>478</v>
      </c>
      <c r="C264" s="3006"/>
      <c r="D264" s="2858">
        <f>SUM(E264:L264)</f>
        <v>120000</v>
      </c>
      <c r="E264" s="2856">
        <v>0</v>
      </c>
      <c r="F264" s="2856">
        <v>80000</v>
      </c>
      <c r="G264" s="2856">
        <v>20000</v>
      </c>
      <c r="H264" s="2856">
        <v>20000</v>
      </c>
      <c r="I264" s="2856">
        <v>0</v>
      </c>
      <c r="J264" s="2856">
        <v>0</v>
      </c>
      <c r="K264" s="2856">
        <v>0</v>
      </c>
      <c r="L264" s="2856">
        <v>0</v>
      </c>
      <c r="M264" s="2857"/>
      <c r="N264" s="3285"/>
    </row>
    <row r="265" spans="1:15" s="3046" customFormat="1" ht="12" hidden="1" customHeight="1">
      <c r="A265" s="3281"/>
      <c r="B265" s="2853" t="s">
        <v>112</v>
      </c>
      <c r="C265" s="3006"/>
      <c r="D265" s="2858">
        <f>+F265</f>
        <v>30000</v>
      </c>
      <c r="E265" s="2856"/>
      <c r="F265" s="2856">
        <v>30000</v>
      </c>
      <c r="G265" s="2856">
        <v>0</v>
      </c>
      <c r="H265" s="2856">
        <v>0</v>
      </c>
      <c r="I265" s="2856">
        <v>0</v>
      </c>
      <c r="J265" s="2856">
        <v>0</v>
      </c>
      <c r="K265" s="2856">
        <v>0</v>
      </c>
      <c r="L265" s="2856">
        <v>0</v>
      </c>
      <c r="M265" s="2857"/>
      <c r="N265" s="3285"/>
    </row>
    <row r="266" spans="1:15">
      <c r="A266" s="3282"/>
      <c r="B266" s="2846" t="s">
        <v>22</v>
      </c>
      <c r="C266" s="2861"/>
      <c r="D266" s="2862">
        <f>D267</f>
        <v>780000</v>
      </c>
      <c r="E266" s="2862">
        <f>+E267</f>
        <v>0</v>
      </c>
      <c r="F266" s="2862">
        <f>+F267</f>
        <v>140000</v>
      </c>
      <c r="G266" s="2862">
        <f>+G267</f>
        <v>520000</v>
      </c>
      <c r="H266" s="2862">
        <f>+H267</f>
        <v>120000</v>
      </c>
      <c r="I266" s="2862">
        <f>I267</f>
        <v>0</v>
      </c>
      <c r="J266" s="2862">
        <f>+J267</f>
        <v>0</v>
      </c>
      <c r="K266" s="2862">
        <f>+K267</f>
        <v>0</v>
      </c>
      <c r="L266" s="2862">
        <f>L267</f>
        <v>0</v>
      </c>
      <c r="M266" s="3290" t="s">
        <v>61</v>
      </c>
      <c r="N266" s="3286"/>
    </row>
    <row r="267" spans="1:15">
      <c r="A267" s="3282"/>
      <c r="B267" s="2850" t="s">
        <v>18</v>
      </c>
      <c r="C267" s="3292" t="s">
        <v>475</v>
      </c>
      <c r="D267" s="2859">
        <f t="shared" ref="D267:L267" si="186">+D268</f>
        <v>780000</v>
      </c>
      <c r="E267" s="2859">
        <f t="shared" si="186"/>
        <v>0</v>
      </c>
      <c r="F267" s="2859">
        <f t="shared" si="186"/>
        <v>140000</v>
      </c>
      <c r="G267" s="2859">
        <f t="shared" si="186"/>
        <v>520000</v>
      </c>
      <c r="H267" s="2859">
        <f t="shared" si="186"/>
        <v>120000</v>
      </c>
      <c r="I267" s="2859">
        <f t="shared" si="186"/>
        <v>0</v>
      </c>
      <c r="J267" s="2859">
        <f t="shared" si="186"/>
        <v>0</v>
      </c>
      <c r="K267" s="2859">
        <f t="shared" si="186"/>
        <v>0</v>
      </c>
      <c r="L267" s="2859">
        <f t="shared" si="186"/>
        <v>0</v>
      </c>
      <c r="M267" s="3290"/>
      <c r="N267" s="3286"/>
    </row>
    <row r="268" spans="1:15" ht="13.5" thickBot="1">
      <c r="A268" s="3283"/>
      <c r="B268" s="820" t="s">
        <v>21</v>
      </c>
      <c r="C268" s="3293"/>
      <c r="D268" s="1337">
        <f>E268+F268+G268+H268+I268+J268+K268+L268</f>
        <v>780000</v>
      </c>
      <c r="E268" s="1337">
        <v>0</v>
      </c>
      <c r="F268" s="620">
        <f>110000+30000</f>
        <v>140000</v>
      </c>
      <c r="G268" s="620">
        <v>520000</v>
      </c>
      <c r="H268" s="620">
        <v>120000</v>
      </c>
      <c r="I268" s="620">
        <v>0</v>
      </c>
      <c r="J268" s="620">
        <v>0</v>
      </c>
      <c r="K268" s="620">
        <v>0</v>
      </c>
      <c r="L268" s="620">
        <v>0</v>
      </c>
      <c r="M268" s="3291"/>
      <c r="N268" s="3287"/>
    </row>
    <row r="269" spans="1:15">
      <c r="A269" s="2870"/>
      <c r="B269" s="465"/>
      <c r="C269" s="465"/>
      <c r="D269" s="465"/>
      <c r="E269" s="465"/>
      <c r="F269" s="465"/>
      <c r="G269" s="465"/>
      <c r="H269" s="465"/>
      <c r="I269" s="465"/>
      <c r="J269" s="465"/>
      <c r="K269" s="465"/>
      <c r="L269" s="465"/>
      <c r="M269" s="465"/>
      <c r="N269" s="465"/>
    </row>
    <row r="270" spans="1:15" hidden="1">
      <c r="B270" s="1925" t="s">
        <v>493</v>
      </c>
      <c r="C270" s="1925"/>
      <c r="D270" s="1925"/>
      <c r="E270" s="1925"/>
      <c r="F270" s="1925"/>
      <c r="G270" s="1925"/>
      <c r="H270" s="1925"/>
      <c r="I270" s="1925"/>
      <c r="J270" s="1925"/>
      <c r="K270" s="1925"/>
      <c r="L270" s="1925"/>
    </row>
    <row r="271" spans="1:15" hidden="1">
      <c r="B271" s="1925" t="s">
        <v>494</v>
      </c>
      <c r="C271" s="1925"/>
      <c r="D271" s="1997">
        <f t="shared" ref="D271:L271" si="187">D44+D61+D157+D217+D244+D256</f>
        <v>87802645</v>
      </c>
      <c r="E271" s="1997">
        <f t="shared" si="187"/>
        <v>9241548</v>
      </c>
      <c r="F271" s="1997">
        <f t="shared" si="187"/>
        <v>15729264</v>
      </c>
      <c r="G271" s="1997">
        <f t="shared" si="187"/>
        <v>16019794</v>
      </c>
      <c r="H271" s="1997">
        <f t="shared" si="187"/>
        <v>13462482</v>
      </c>
      <c r="I271" s="1997">
        <f t="shared" si="187"/>
        <v>10223079</v>
      </c>
      <c r="J271" s="1997">
        <f t="shared" si="187"/>
        <v>8216495</v>
      </c>
      <c r="K271" s="1997">
        <f t="shared" si="187"/>
        <v>7545683</v>
      </c>
      <c r="L271" s="1997">
        <f t="shared" si="187"/>
        <v>7364300</v>
      </c>
    </row>
    <row r="272" spans="1:15" hidden="1">
      <c r="B272" s="1925" t="s">
        <v>495</v>
      </c>
      <c r="C272" s="1925"/>
      <c r="D272" s="1997">
        <f t="shared" ref="D272:L272" si="188">D169+D229+D266</f>
        <v>881528</v>
      </c>
      <c r="E272" s="1997">
        <f t="shared" si="188"/>
        <v>21928</v>
      </c>
      <c r="F272" s="1997">
        <f t="shared" si="188"/>
        <v>219600</v>
      </c>
      <c r="G272" s="1997">
        <f t="shared" si="188"/>
        <v>520000</v>
      </c>
      <c r="H272" s="1997">
        <f t="shared" si="188"/>
        <v>120000</v>
      </c>
      <c r="I272" s="1997">
        <f t="shared" si="188"/>
        <v>0</v>
      </c>
      <c r="J272" s="1997">
        <f t="shared" si="188"/>
        <v>0</v>
      </c>
      <c r="K272" s="1997">
        <f t="shared" si="188"/>
        <v>0</v>
      </c>
      <c r="L272" s="1997">
        <f t="shared" si="188"/>
        <v>0</v>
      </c>
    </row>
    <row r="273" spans="2:12" hidden="1">
      <c r="B273" s="1925" t="s">
        <v>496</v>
      </c>
      <c r="C273" s="1925"/>
      <c r="D273" s="1998">
        <f>D271+D272</f>
        <v>88684173</v>
      </c>
      <c r="E273" s="1998">
        <f t="shared" ref="E273:L273" si="189">E271+E272</f>
        <v>9263476</v>
      </c>
      <c r="F273" s="1998">
        <f t="shared" si="189"/>
        <v>15948864</v>
      </c>
      <c r="G273" s="1998">
        <f t="shared" si="189"/>
        <v>16539794</v>
      </c>
      <c r="H273" s="1998">
        <f t="shared" si="189"/>
        <v>13582482</v>
      </c>
      <c r="I273" s="1998">
        <f t="shared" si="189"/>
        <v>10223079</v>
      </c>
      <c r="J273" s="1998">
        <f t="shared" si="189"/>
        <v>8216495</v>
      </c>
      <c r="K273" s="1998">
        <f t="shared" si="189"/>
        <v>7545683</v>
      </c>
      <c r="L273" s="1998">
        <f t="shared" si="189"/>
        <v>7364300</v>
      </c>
    </row>
    <row r="274" spans="2:12" hidden="1">
      <c r="B274" s="1999" t="s">
        <v>42</v>
      </c>
      <c r="C274" s="1999"/>
      <c r="D274" s="2000">
        <f t="shared" ref="D274:L274" si="190">D273-D17</f>
        <v>0</v>
      </c>
      <c r="E274" s="2000">
        <f t="shared" si="190"/>
        <v>0</v>
      </c>
      <c r="F274" s="2000">
        <f t="shared" si="190"/>
        <v>0</v>
      </c>
      <c r="G274" s="2000">
        <f t="shared" si="190"/>
        <v>0</v>
      </c>
      <c r="H274" s="2000">
        <f t="shared" si="190"/>
        <v>0</v>
      </c>
      <c r="I274" s="2000">
        <f t="shared" si="190"/>
        <v>0</v>
      </c>
      <c r="J274" s="2000">
        <f t="shared" si="190"/>
        <v>0</v>
      </c>
      <c r="K274" s="2000">
        <f t="shared" si="190"/>
        <v>0</v>
      </c>
      <c r="L274" s="2000">
        <f t="shared" si="190"/>
        <v>0</v>
      </c>
    </row>
    <row r="275" spans="2:12">
      <c r="B275" s="1996"/>
      <c r="C275" s="1996"/>
      <c r="D275" s="1996"/>
      <c r="E275" s="1996"/>
      <c r="F275" s="1996"/>
      <c r="G275" s="1996"/>
      <c r="H275" s="1996"/>
      <c r="I275" s="1996"/>
      <c r="J275" s="1996"/>
      <c r="K275" s="1996"/>
      <c r="L275" s="1996"/>
    </row>
  </sheetData>
  <mergeCells count="108">
    <mergeCell ref="A150:A161"/>
    <mergeCell ref="N150:N161"/>
    <mergeCell ref="C152:C156"/>
    <mergeCell ref="C158:C161"/>
    <mergeCell ref="M157:M161"/>
    <mergeCell ref="A162:A173"/>
    <mergeCell ref="N162:N173"/>
    <mergeCell ref="C164:C168"/>
    <mergeCell ref="M169:M173"/>
    <mergeCell ref="C170:C173"/>
    <mergeCell ref="A3:N3"/>
    <mergeCell ref="C4:C5"/>
    <mergeCell ref="D4:D5"/>
    <mergeCell ref="N4:N5"/>
    <mergeCell ref="M4:M5"/>
    <mergeCell ref="B4:B5"/>
    <mergeCell ref="A4:A5"/>
    <mergeCell ref="F4:L4"/>
    <mergeCell ref="M17:M22"/>
    <mergeCell ref="A66:A77"/>
    <mergeCell ref="N66:N77"/>
    <mergeCell ref="C68:C72"/>
    <mergeCell ref="C74:C77"/>
    <mergeCell ref="M73:M77"/>
    <mergeCell ref="A50:A65"/>
    <mergeCell ref="N50:N65"/>
    <mergeCell ref="C52:C58"/>
    <mergeCell ref="C62:C65"/>
    <mergeCell ref="M61:M65"/>
    <mergeCell ref="A30:A49"/>
    <mergeCell ref="N30:N49"/>
    <mergeCell ref="C32:C43"/>
    <mergeCell ref="C45:C49"/>
    <mergeCell ref="M44:M49"/>
    <mergeCell ref="A23:A29"/>
    <mergeCell ref="N23:N29"/>
    <mergeCell ref="C25:C26"/>
    <mergeCell ref="C28:C29"/>
    <mergeCell ref="A90:A101"/>
    <mergeCell ref="N90:N101"/>
    <mergeCell ref="C92:C96"/>
    <mergeCell ref="C98:C101"/>
    <mergeCell ref="M97:M101"/>
    <mergeCell ref="A78:A89"/>
    <mergeCell ref="N78:N89"/>
    <mergeCell ref="C80:C84"/>
    <mergeCell ref="C86:C89"/>
    <mergeCell ref="M85:M89"/>
    <mergeCell ref="A102:A113"/>
    <mergeCell ref="N102:N113"/>
    <mergeCell ref="C104:C108"/>
    <mergeCell ref="C110:C113"/>
    <mergeCell ref="M109:M113"/>
    <mergeCell ref="A114:A125"/>
    <mergeCell ref="N114:N125"/>
    <mergeCell ref="C116:C120"/>
    <mergeCell ref="C122:C125"/>
    <mergeCell ref="M121:M125"/>
    <mergeCell ref="A126:A137"/>
    <mergeCell ref="N126:N137"/>
    <mergeCell ref="C128:C132"/>
    <mergeCell ref="C134:C137"/>
    <mergeCell ref="M133:M137"/>
    <mergeCell ref="A138:A149"/>
    <mergeCell ref="N138:N149"/>
    <mergeCell ref="C140:C144"/>
    <mergeCell ref="C146:C149"/>
    <mergeCell ref="M145:M149"/>
    <mergeCell ref="A174:A185"/>
    <mergeCell ref="N174:N185"/>
    <mergeCell ref="C176:C180"/>
    <mergeCell ref="C182:C185"/>
    <mergeCell ref="M181:M185"/>
    <mergeCell ref="A186:A197"/>
    <mergeCell ref="N186:N197"/>
    <mergeCell ref="C188:C192"/>
    <mergeCell ref="C194:C197"/>
    <mergeCell ref="M193:M197"/>
    <mergeCell ref="A198:A209"/>
    <mergeCell ref="N198:N209"/>
    <mergeCell ref="C200:C204"/>
    <mergeCell ref="C206:C209"/>
    <mergeCell ref="M205:M209"/>
    <mergeCell ref="A210:A221"/>
    <mergeCell ref="N210:N221"/>
    <mergeCell ref="C212:C216"/>
    <mergeCell ref="M217:M221"/>
    <mergeCell ref="C218:C221"/>
    <mergeCell ref="A234:A246"/>
    <mergeCell ref="N234:N246"/>
    <mergeCell ref="C236:C241"/>
    <mergeCell ref="M244:M246"/>
    <mergeCell ref="C245:C246"/>
    <mergeCell ref="A222:A233"/>
    <mergeCell ref="N222:N233"/>
    <mergeCell ref="C224:C228"/>
    <mergeCell ref="M229:M233"/>
    <mergeCell ref="C230:C233"/>
    <mergeCell ref="A259:A268"/>
    <mergeCell ref="N259:N268"/>
    <mergeCell ref="C261:C262"/>
    <mergeCell ref="M266:M268"/>
    <mergeCell ref="C267:C268"/>
    <mergeCell ref="A247:A258"/>
    <mergeCell ref="N247:N258"/>
    <mergeCell ref="M256:M258"/>
    <mergeCell ref="C257:C258"/>
    <mergeCell ref="C249:C255"/>
  </mergeCells>
  <printOptions horizontalCentered="1"/>
  <pageMargins left="0.23622047244094491" right="0.27559055118110237" top="0.51181102362204722" bottom="0.35433070866141736" header="0.19685039370078741" footer="0.15748031496062992"/>
  <pageSetup paperSize="9" scale="70" firstPageNumber="27" orientation="landscape" useFirstPageNumber="1" r:id="rId1"/>
  <headerFooter alignWithMargins="0">
    <oddHeader>&amp;C&amp;"Arial,Kursywa"Wieloletnia prognoza finansowa Województwa Zachodniopomorskiego na lata 2017-2044&amp;"Arial,Normalny"
__________________________________________________________________________________________________________________</oddHeader>
    <oddFooter>&amp;C&amp;P</oddFooter>
  </headerFooter>
  <rowBreaks count="2" manualBreakCount="2">
    <brk id="161" max="24" man="1"/>
    <brk id="246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548"/>
  <sheetViews>
    <sheetView showGridLines="0" view="pageBreakPreview" zoomScaleNormal="100" zoomScaleSheetLayoutView="100" workbookViewId="0">
      <pane ySplit="8" topLeftCell="A9" activePane="bottomLeft" state="frozen"/>
      <selection activeCell="J81" sqref="J81"/>
      <selection pane="bottomLeft"/>
    </sheetView>
  </sheetViews>
  <sheetFormatPr defaultColWidth="9.140625" defaultRowHeight="12.75"/>
  <cols>
    <col min="1" max="1" width="3.7109375" style="362" customWidth="1"/>
    <col min="2" max="2" width="54.7109375" style="363" customWidth="1"/>
    <col min="3" max="3" width="9.85546875" style="363" customWidth="1"/>
    <col min="4" max="4" width="13.7109375" style="363" customWidth="1"/>
    <col min="5" max="5" width="11.85546875" style="363" customWidth="1"/>
    <col min="6" max="6" width="9.5703125" style="363" customWidth="1"/>
    <col min="7" max="7" width="10.85546875" style="363" customWidth="1"/>
    <col min="8" max="8" width="10.28515625" style="363" customWidth="1"/>
    <col min="9" max="9" width="9.7109375" style="363" customWidth="1"/>
    <col min="10" max="10" width="10.5703125" style="363" customWidth="1"/>
    <col min="11" max="11" width="10" style="363" customWidth="1"/>
    <col min="12" max="12" width="9.7109375" style="363" customWidth="1"/>
    <col min="13" max="13" width="12.140625" style="363" customWidth="1"/>
    <col min="14" max="14" width="14.28515625" style="448" customWidth="1"/>
    <col min="15" max="15" width="11.5703125" style="447" hidden="1" customWidth="1"/>
    <col min="16" max="16" width="10.140625" style="447" hidden="1" customWidth="1"/>
    <col min="17" max="17" width="9.5703125" style="447" hidden="1" customWidth="1"/>
    <col min="18" max="18" width="0" style="447" hidden="1" customWidth="1"/>
    <col min="19" max="19" width="10.140625" style="447" customWidth="1"/>
    <col min="20" max="20" width="9.140625" style="447"/>
    <col min="21" max="21" width="10.7109375" style="447" customWidth="1"/>
    <col min="22" max="30" width="9.140625" style="447"/>
    <col min="31" max="31" width="8.5703125" style="447" customWidth="1"/>
    <col min="32" max="43" width="9.140625" style="447"/>
    <col min="44" max="44" width="8.7109375" style="447" customWidth="1"/>
    <col min="45" max="54" width="9.140625" style="447"/>
    <col min="55" max="55" width="4.28515625" style="447" customWidth="1"/>
    <col min="56" max="65" width="9.140625" style="447"/>
    <col min="66" max="66" width="5" style="447" customWidth="1"/>
    <col min="67" max="76" width="9.140625" style="447"/>
    <col min="77" max="77" width="3.85546875" style="447" customWidth="1"/>
    <col min="78" max="89" width="9.140625" style="447"/>
    <col min="90" max="90" width="5.28515625" style="447" customWidth="1"/>
    <col min="91" max="102" width="9.140625" style="447"/>
    <col min="103" max="103" width="1.5703125" style="447" customWidth="1"/>
    <col min="104" max="116" width="9.140625" style="447"/>
    <col min="117" max="117" width="0.7109375" style="447" customWidth="1"/>
    <col min="118" max="129" width="9.140625" style="447"/>
    <col min="130" max="130" width="8.28515625" style="447" customWidth="1"/>
    <col min="131" max="139" width="9.140625" style="447"/>
    <col min="140" max="140" width="0.28515625" style="447" customWidth="1"/>
    <col min="141" max="166" width="9.140625" style="447"/>
    <col min="167" max="167" width="0.7109375" style="447" customWidth="1"/>
    <col min="168" max="16384" width="9.140625" style="447"/>
  </cols>
  <sheetData>
    <row r="1" spans="1:17" ht="17.25" customHeight="1">
      <c r="D1" s="366"/>
      <c r="E1" s="366">
        <f>56392338+1859601-E10</f>
        <v>0</v>
      </c>
      <c r="H1" s="368" t="s">
        <v>540</v>
      </c>
      <c r="I1" s="6"/>
      <c r="J1" s="6"/>
      <c r="K1" s="6"/>
      <c r="L1" s="6"/>
      <c r="M1" s="6"/>
      <c r="N1" s="7"/>
    </row>
    <row r="2" spans="1:17" ht="15" hidden="1" customHeight="1">
      <c r="H2" s="6"/>
      <c r="I2" s="6"/>
      <c r="J2" s="6"/>
      <c r="K2" s="6"/>
      <c r="L2" s="6"/>
      <c r="M2" s="6"/>
      <c r="N2" s="7"/>
    </row>
    <row r="3" spans="1:17" ht="15" hidden="1" customHeight="1"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7"/>
    </row>
    <row r="4" spans="1:17" ht="8.25" customHeight="1">
      <c r="D4" s="366"/>
      <c r="E4" s="366"/>
      <c r="F4" s="369"/>
      <c r="G4" s="369"/>
      <c r="H4" s="6"/>
      <c r="I4" s="6"/>
      <c r="J4" s="6"/>
      <c r="K4" s="6"/>
      <c r="L4" s="6"/>
      <c r="M4" s="6"/>
      <c r="N4" s="7"/>
    </row>
    <row r="5" spans="1:17" s="370" customFormat="1" ht="18.75" thickBot="1">
      <c r="A5" s="3418" t="s">
        <v>253</v>
      </c>
      <c r="B5" s="3418"/>
      <c r="C5" s="3418"/>
      <c r="D5" s="3418"/>
      <c r="E5" s="3418"/>
      <c r="F5" s="2497"/>
      <c r="G5" s="2497"/>
      <c r="H5" s="2498"/>
      <c r="I5" s="2498"/>
      <c r="J5" s="2498"/>
      <c r="K5" s="2498"/>
      <c r="L5" s="2498"/>
      <c r="M5" s="2498"/>
      <c r="N5" s="2498"/>
    </row>
    <row r="6" spans="1:17" ht="36.75" customHeight="1">
      <c r="A6" s="2499"/>
      <c r="B6" s="2499"/>
      <c r="C6" s="3216" t="s">
        <v>71</v>
      </c>
      <c r="D6" s="3420" t="s">
        <v>72</v>
      </c>
      <c r="E6" s="3423" t="s">
        <v>296</v>
      </c>
      <c r="F6" s="3414" t="s">
        <v>415</v>
      </c>
      <c r="G6" s="3349"/>
      <c r="H6" s="3349"/>
      <c r="I6" s="3349"/>
      <c r="J6" s="3349"/>
      <c r="K6" s="3349"/>
      <c r="L6" s="3350"/>
      <c r="M6" s="3225" t="s">
        <v>410</v>
      </c>
      <c r="N6" s="3410" t="s">
        <v>73</v>
      </c>
    </row>
    <row r="7" spans="1:17" ht="45.75" customHeight="1">
      <c r="A7" s="2738" t="s">
        <v>74</v>
      </c>
      <c r="B7" s="2500" t="s">
        <v>75</v>
      </c>
      <c r="C7" s="3419"/>
      <c r="D7" s="3421"/>
      <c r="E7" s="3424"/>
      <c r="F7" s="3415"/>
      <c r="G7" s="3416"/>
      <c r="H7" s="3416"/>
      <c r="I7" s="3416"/>
      <c r="J7" s="3416"/>
      <c r="K7" s="3416"/>
      <c r="L7" s="3417"/>
      <c r="M7" s="3413"/>
      <c r="N7" s="3411"/>
    </row>
    <row r="8" spans="1:17" ht="15.75" customHeight="1" thickBot="1">
      <c r="A8" s="2501"/>
      <c r="B8" s="2502"/>
      <c r="C8" s="3217"/>
      <c r="D8" s="3422"/>
      <c r="E8" s="345" t="s">
        <v>555</v>
      </c>
      <c r="F8" s="2750" t="s">
        <v>5</v>
      </c>
      <c r="G8" s="2750" t="s">
        <v>6</v>
      </c>
      <c r="H8" s="279" t="s">
        <v>229</v>
      </c>
      <c r="I8" s="279" t="s">
        <v>231</v>
      </c>
      <c r="J8" s="279" t="s">
        <v>286</v>
      </c>
      <c r="K8" s="279" t="s">
        <v>287</v>
      </c>
      <c r="L8" s="2503" t="s">
        <v>285</v>
      </c>
      <c r="M8" s="3226"/>
      <c r="N8" s="3412"/>
    </row>
    <row r="9" spans="1:17" s="371" customFormat="1" ht="12" customHeight="1" thickBot="1">
      <c r="A9" s="1465">
        <v>1</v>
      </c>
      <c r="B9" s="1466">
        <v>2</v>
      </c>
      <c r="C9" s="1467" t="s">
        <v>121</v>
      </c>
      <c r="D9" s="1467" t="s">
        <v>122</v>
      </c>
      <c r="E9" s="1467">
        <v>5</v>
      </c>
      <c r="F9" s="1467">
        <v>6</v>
      </c>
      <c r="G9" s="1467">
        <v>7</v>
      </c>
      <c r="H9" s="1467">
        <v>8</v>
      </c>
      <c r="I9" s="1467">
        <v>9</v>
      </c>
      <c r="J9" s="1467">
        <v>10</v>
      </c>
      <c r="K9" s="1467">
        <v>11</v>
      </c>
      <c r="L9" s="1467">
        <v>12</v>
      </c>
      <c r="M9" s="1468">
        <v>13</v>
      </c>
      <c r="N9" s="1469">
        <v>14</v>
      </c>
      <c r="P9" s="2504"/>
    </row>
    <row r="10" spans="1:17" s="2737" customFormat="1" ht="15.75" customHeight="1">
      <c r="A10" s="2505"/>
      <c r="B10" s="265" t="s">
        <v>76</v>
      </c>
      <c r="C10" s="239"/>
      <c r="D10" s="240">
        <f>+D11+D12</f>
        <v>91026947</v>
      </c>
      <c r="E10" s="240">
        <f t="shared" ref="E10" si="0">+E11+E12</f>
        <v>58251939</v>
      </c>
      <c r="F10" s="240">
        <f t="shared" ref="F10" si="1">+F11+F12</f>
        <v>3617330</v>
      </c>
      <c r="G10" s="240">
        <f t="shared" ref="G10:M10" si="2">+G11+G12</f>
        <v>4247813</v>
      </c>
      <c r="H10" s="240">
        <f t="shared" si="2"/>
        <v>5225973</v>
      </c>
      <c r="I10" s="240">
        <f t="shared" si="2"/>
        <v>5225973</v>
      </c>
      <c r="J10" s="240">
        <f t="shared" si="2"/>
        <v>5225973</v>
      </c>
      <c r="K10" s="240">
        <f t="shared" si="2"/>
        <v>5085973</v>
      </c>
      <c r="L10" s="2506">
        <f t="shared" si="2"/>
        <v>4145973</v>
      </c>
      <c r="M10" s="2507">
        <f t="shared" si="2"/>
        <v>67082455</v>
      </c>
      <c r="N10" s="2508"/>
      <c r="P10" s="374"/>
      <c r="Q10" s="374"/>
    </row>
    <row r="11" spans="1:17" s="2737" customFormat="1" ht="15.75" customHeight="1">
      <c r="A11" s="215"/>
      <c r="B11" s="254" t="s">
        <v>77</v>
      </c>
      <c r="C11" s="242"/>
      <c r="D11" s="243">
        <f>+D82+D87+D92+D120+D125+D130+D135</f>
        <v>30471011</v>
      </c>
      <c r="E11" s="243">
        <f t="shared" ref="E11" si="3">+E82+E87+E92+E120+E125+E130</f>
        <v>0</v>
      </c>
      <c r="F11" s="243">
        <f t="shared" ref="F11" si="4">+F82+F87+F92+F120+F125+F130</f>
        <v>1313333</v>
      </c>
      <c r="G11" s="243">
        <f t="shared" ref="G11:L11" si="5">+G82+G87+G92+G120+G125+G130+G135</f>
        <v>4247813</v>
      </c>
      <c r="H11" s="243">
        <f t="shared" si="5"/>
        <v>5225973</v>
      </c>
      <c r="I11" s="243">
        <f t="shared" si="5"/>
        <v>5225973</v>
      </c>
      <c r="J11" s="243">
        <f t="shared" si="5"/>
        <v>5225973</v>
      </c>
      <c r="K11" s="243">
        <f t="shared" si="5"/>
        <v>5085973</v>
      </c>
      <c r="L11" s="2509">
        <f t="shared" si="5"/>
        <v>4145973</v>
      </c>
      <c r="M11" s="2510">
        <f>+M82+M87+M92+M120+M125+M130+M135</f>
        <v>64778458</v>
      </c>
      <c r="N11" s="2511"/>
    </row>
    <row r="12" spans="1:17" s="2737" customFormat="1" ht="15.75" customHeight="1" thickBot="1">
      <c r="A12" s="215"/>
      <c r="B12" s="255" t="s">
        <v>9</v>
      </c>
      <c r="C12" s="822"/>
      <c r="D12" s="253">
        <f>+D33+D44+D57+D58+D59+D45+D69+D70+D97+D107+D108</f>
        <v>60555936</v>
      </c>
      <c r="E12" s="253">
        <f>+E33+E44+E57+E58+E59+E45+E69+E70+E97+E107+E108</f>
        <v>58251939</v>
      </c>
      <c r="F12" s="253">
        <f>+F33+F44+F57+F58+F59+F45+F69+F70+F97+F107+F108</f>
        <v>2303997</v>
      </c>
      <c r="G12" s="253">
        <f t="shared" ref="G12:H12" si="6">+G33+G44+G57+G58+G59+G45+G69+G70+G97+G107+G108</f>
        <v>0</v>
      </c>
      <c r="H12" s="253">
        <f t="shared" si="6"/>
        <v>0</v>
      </c>
      <c r="I12" s="253">
        <f>+I33+I44+I57+I58+I59+I45+I69+I70+I97+I107+I108</f>
        <v>0</v>
      </c>
      <c r="J12" s="253">
        <f>+J33+J44+J57+J58+J59+J45+J69+J70+J97+J107+J108</f>
        <v>0</v>
      </c>
      <c r="K12" s="253">
        <f>+K33+K44+K57+K58+K59+K45+K69+K70+K97+K107+K108</f>
        <v>0</v>
      </c>
      <c r="L12" s="2512">
        <f>+L33+L44+L57+L58+L59+L45+L69+L70+L97+L107+L108</f>
        <v>0</v>
      </c>
      <c r="M12" s="2513">
        <f>+M33+M44+M57+M58+M59+M45+M69+M70+M97+M107+M108</f>
        <v>2303997</v>
      </c>
      <c r="N12" s="2511"/>
    </row>
    <row r="13" spans="1:17" s="371" customFormat="1" ht="15" customHeight="1">
      <c r="A13" s="215"/>
      <c r="B13" s="2514" t="s">
        <v>10</v>
      </c>
      <c r="C13" s="2515"/>
      <c r="D13" s="2516">
        <f>+D14+D21</f>
        <v>114274791.64</v>
      </c>
      <c r="E13" s="2517">
        <f t="shared" ref="E13" si="7">SUM(E14,E21)</f>
        <v>74196261</v>
      </c>
      <c r="F13" s="2517">
        <f t="shared" ref="F13" si="8">SUM(F14,F21)</f>
        <v>10804186</v>
      </c>
      <c r="G13" s="2517">
        <f>SUM(G14,G21)</f>
        <v>4247813</v>
      </c>
      <c r="H13" s="2517">
        <f>+H14+H21</f>
        <v>5225973</v>
      </c>
      <c r="I13" s="2517">
        <f>SUM(I14,I21)</f>
        <v>5225973</v>
      </c>
      <c r="J13" s="2517">
        <f>SUM(J14,J21)</f>
        <v>5225973</v>
      </c>
      <c r="K13" s="2517">
        <f>SUM(K14,K21)</f>
        <v>5085973</v>
      </c>
      <c r="L13" s="2518">
        <f>SUM(L14,L21)</f>
        <v>4145973</v>
      </c>
      <c r="M13" s="2519">
        <f>SUM(M14,M21)</f>
        <v>67082455</v>
      </c>
      <c r="N13" s="823"/>
      <c r="Q13" s="199"/>
    </row>
    <row r="14" spans="1:17" s="441" customFormat="1" ht="14.25" customHeight="1">
      <c r="A14" s="215"/>
      <c r="B14" s="2520" t="s">
        <v>11</v>
      </c>
      <c r="C14" s="2521"/>
      <c r="D14" s="2522">
        <f>SUM(D15:D20)</f>
        <v>114274791.64</v>
      </c>
      <c r="E14" s="2522">
        <f t="shared" ref="E14" si="9">SUM(E15:E20)</f>
        <v>74196261</v>
      </c>
      <c r="F14" s="2522">
        <f t="shared" ref="F14" si="10">SUM(F15:F20)</f>
        <v>10804186</v>
      </c>
      <c r="G14" s="2522">
        <f>SUM(G15:G20)</f>
        <v>4247813</v>
      </c>
      <c r="H14" s="2522">
        <f>+H15+H16+H17+H18+H20</f>
        <v>5225973</v>
      </c>
      <c r="I14" s="2522">
        <f>SUM(I15:I20)</f>
        <v>5225973</v>
      </c>
      <c r="J14" s="2522">
        <f>SUM(J15:J20)</f>
        <v>5225973</v>
      </c>
      <c r="K14" s="2522">
        <f>SUM(K15:K20)</f>
        <v>5085973</v>
      </c>
      <c r="L14" s="2523">
        <f>SUM(L15:L20)</f>
        <v>4145973</v>
      </c>
      <c r="M14" s="2524">
        <f>SUM(M15:M20)</f>
        <v>67082455</v>
      </c>
      <c r="N14" s="824"/>
      <c r="P14" s="442"/>
    </row>
    <row r="15" spans="1:17" s="441" customFormat="1" ht="14.25" customHeight="1">
      <c r="A15" s="215"/>
      <c r="B15" s="2525" t="s">
        <v>12</v>
      </c>
      <c r="C15" s="2521"/>
      <c r="D15" s="2526">
        <f>+D82+D87+D92+D120+D125+D130+D135</f>
        <v>30471011</v>
      </c>
      <c r="E15" s="2526">
        <f>+E82+E87+E92+E120+E125+E130+E135</f>
        <v>0</v>
      </c>
      <c r="F15" s="2526">
        <f>+F82+F87+F92+F120+F125+F130+F135</f>
        <v>1313333</v>
      </c>
      <c r="G15" s="2526">
        <f t="shared" ref="G15:L15" si="11">+G82+G87+G92+G120+G125+G130+G135</f>
        <v>4247813</v>
      </c>
      <c r="H15" s="2526">
        <f t="shared" si="11"/>
        <v>5225973</v>
      </c>
      <c r="I15" s="2526">
        <f t="shared" si="11"/>
        <v>5225973</v>
      </c>
      <c r="J15" s="2526">
        <f t="shared" si="11"/>
        <v>5225973</v>
      </c>
      <c r="K15" s="2526">
        <f t="shared" si="11"/>
        <v>5085973</v>
      </c>
      <c r="L15" s="2527">
        <f t="shared" si="11"/>
        <v>4145973</v>
      </c>
      <c r="M15" s="2528">
        <f>+M82+M87+M92+M120+M125+M130+M135</f>
        <v>64778458</v>
      </c>
      <c r="N15" s="824"/>
      <c r="P15" s="442"/>
      <c r="Q15" s="442"/>
    </row>
    <row r="16" spans="1:17" s="371" customFormat="1" ht="14.25" customHeight="1">
      <c r="A16" s="215"/>
      <c r="B16" s="2525" t="s">
        <v>32</v>
      </c>
      <c r="C16" s="2529"/>
      <c r="D16" s="2530">
        <f>+D56+D91+D129+D134</f>
        <v>23247844.640000001</v>
      </c>
      <c r="E16" s="2526">
        <f t="shared" ref="E16" si="12">+E32+E43+E56+E81+E86+E96+E106+E91+E124</f>
        <v>15944322</v>
      </c>
      <c r="F16" s="2526">
        <f t="shared" ref="F16:K16" si="13">+F32+F43+F56+F81+F86+F96+F106+F91+F124</f>
        <v>7186856</v>
      </c>
      <c r="G16" s="2526">
        <f t="shared" si="13"/>
        <v>0</v>
      </c>
      <c r="H16" s="2526">
        <f t="shared" si="13"/>
        <v>0</v>
      </c>
      <c r="I16" s="2526">
        <f t="shared" si="13"/>
        <v>0</v>
      </c>
      <c r="J16" s="2526">
        <f t="shared" si="13"/>
        <v>0</v>
      </c>
      <c r="K16" s="2526">
        <f t="shared" si="13"/>
        <v>0</v>
      </c>
      <c r="L16" s="2531">
        <f>+L32+L43+L56+L81+L86+L96+L106+L91+L124</f>
        <v>0</v>
      </c>
      <c r="M16" s="2532" t="s">
        <v>61</v>
      </c>
      <c r="N16" s="823"/>
      <c r="P16" s="199"/>
      <c r="Q16" s="199"/>
    </row>
    <row r="17" spans="1:17" s="371" customFormat="1" ht="14.25" customHeight="1">
      <c r="A17" s="215"/>
      <c r="B17" s="2525" t="s">
        <v>126</v>
      </c>
      <c r="C17" s="2533"/>
      <c r="D17" s="2530">
        <f>+D44+D57+D69+D97+D33+D107</f>
        <v>24903655</v>
      </c>
      <c r="E17" s="2526">
        <f>+E44+E57+E69+E97+E33+E107</f>
        <v>24903655</v>
      </c>
      <c r="F17" s="2526">
        <f>+F44+F57+F69+F97+F33+F107</f>
        <v>0</v>
      </c>
      <c r="G17" s="2534">
        <f t="shared" ref="G17:I17" si="14">+G44+G57+G69+G97+G33+G107</f>
        <v>0</v>
      </c>
      <c r="H17" s="2534">
        <f t="shared" si="14"/>
        <v>0</v>
      </c>
      <c r="I17" s="2534">
        <f t="shared" si="14"/>
        <v>0</v>
      </c>
      <c r="J17" s="2534">
        <f>+J44+J57+J69+J97+J33+J107</f>
        <v>0</v>
      </c>
      <c r="K17" s="2534">
        <f>+K44+K57+K69+K97+K33+K107</f>
        <v>0</v>
      </c>
      <c r="L17" s="2535">
        <f>+L44+L57+L69+L97+L33+L107</f>
        <v>0</v>
      </c>
      <c r="M17" s="2536"/>
      <c r="N17" s="2537"/>
      <c r="P17" s="199"/>
      <c r="Q17" s="199"/>
    </row>
    <row r="18" spans="1:17" s="441" customFormat="1" ht="14.25" customHeight="1">
      <c r="A18" s="825"/>
      <c r="B18" s="2538" t="s">
        <v>13</v>
      </c>
      <c r="C18" s="2529"/>
      <c r="D18" s="2533">
        <f>D58+D45+D70+D108</f>
        <v>29452281</v>
      </c>
      <c r="E18" s="2533">
        <f>E58+E45+E70+E108</f>
        <v>27148284</v>
      </c>
      <c r="F18" s="2533">
        <f>F58+F45+F70+F108</f>
        <v>2303997</v>
      </c>
      <c r="G18" s="2539">
        <f t="shared" ref="G18:I18" si="15">G58+G45+G70</f>
        <v>0</v>
      </c>
      <c r="H18" s="2539">
        <f t="shared" si="15"/>
        <v>0</v>
      </c>
      <c r="I18" s="2539">
        <f t="shared" si="15"/>
        <v>0</v>
      </c>
      <c r="J18" s="2539">
        <f>J58+J45+J70</f>
        <v>0</v>
      </c>
      <c r="K18" s="2539">
        <f>K58+K45+K70</f>
        <v>0</v>
      </c>
      <c r="L18" s="2540">
        <f>L58+L45+L70</f>
        <v>0</v>
      </c>
      <c r="M18" s="2541">
        <f>M58+M45+M70+M108</f>
        <v>2303997</v>
      </c>
      <c r="N18" s="2542"/>
      <c r="P18" s="442"/>
    </row>
    <row r="19" spans="1:17" s="381" customFormat="1" ht="14.25" hidden="1" customHeight="1">
      <c r="A19" s="825"/>
      <c r="B19" s="2538" t="s">
        <v>34</v>
      </c>
      <c r="C19" s="2529"/>
      <c r="D19" s="2533"/>
      <c r="E19" s="2533">
        <f>+E135</f>
        <v>0</v>
      </c>
      <c r="F19" s="2533">
        <f>+F135</f>
        <v>0</v>
      </c>
      <c r="G19" s="2539">
        <v>0</v>
      </c>
      <c r="H19" s="2539">
        <v>0</v>
      </c>
      <c r="I19" s="2539">
        <v>0</v>
      </c>
      <c r="J19" s="2539">
        <v>0</v>
      </c>
      <c r="K19" s="2539">
        <v>0</v>
      </c>
      <c r="L19" s="2540">
        <v>0</v>
      </c>
      <c r="M19" s="2543"/>
      <c r="N19" s="2542"/>
      <c r="P19" s="2544"/>
    </row>
    <row r="20" spans="1:17" s="371" customFormat="1" ht="14.25" customHeight="1">
      <c r="A20" s="215"/>
      <c r="B20" s="2538" t="s">
        <v>127</v>
      </c>
      <c r="C20" s="2529"/>
      <c r="D20" s="2533">
        <f t="shared" ref="D20:I20" si="16">D59</f>
        <v>6200000</v>
      </c>
      <c r="E20" s="2533">
        <f t="shared" ref="E20" si="17">E59</f>
        <v>6200000</v>
      </c>
      <c r="F20" s="2539">
        <f t="shared" si="16"/>
        <v>0</v>
      </c>
      <c r="G20" s="2539">
        <f t="shared" si="16"/>
        <v>0</v>
      </c>
      <c r="H20" s="2539">
        <f t="shared" si="16"/>
        <v>0</v>
      </c>
      <c r="I20" s="2539">
        <f t="shared" si="16"/>
        <v>0</v>
      </c>
      <c r="J20" s="2539">
        <f>J59</f>
        <v>0</v>
      </c>
      <c r="K20" s="2539">
        <f>K59</f>
        <v>0</v>
      </c>
      <c r="L20" s="2540">
        <f>L59</f>
        <v>0</v>
      </c>
      <c r="M20" s="2536">
        <f>M59</f>
        <v>0</v>
      </c>
      <c r="N20" s="2537"/>
      <c r="P20" s="199"/>
    </row>
    <row r="21" spans="1:17" s="441" customFormat="1" ht="14.25" hidden="1" customHeight="1">
      <c r="A21" s="167"/>
      <c r="B21" s="203" t="s">
        <v>18</v>
      </c>
      <c r="C21" s="2545"/>
      <c r="D21" s="2546">
        <f t="shared" ref="D21:L21" si="18">SUM(D22:D22)</f>
        <v>0</v>
      </c>
      <c r="E21" s="2547">
        <f t="shared" si="18"/>
        <v>0</v>
      </c>
      <c r="F21" s="2547">
        <f t="shared" si="18"/>
        <v>0</v>
      </c>
      <c r="G21" s="2547">
        <f t="shared" si="18"/>
        <v>0</v>
      </c>
      <c r="H21" s="2547">
        <f t="shared" si="18"/>
        <v>0</v>
      </c>
      <c r="I21" s="2547">
        <f t="shared" si="18"/>
        <v>0</v>
      </c>
      <c r="J21" s="2547">
        <f t="shared" si="18"/>
        <v>0</v>
      </c>
      <c r="K21" s="2547">
        <f t="shared" si="18"/>
        <v>0</v>
      </c>
      <c r="L21" s="2548">
        <f t="shared" si="18"/>
        <v>0</v>
      </c>
      <c r="M21" s="2532" t="s">
        <v>61</v>
      </c>
      <c r="N21" s="824"/>
    </row>
    <row r="22" spans="1:17" s="371" customFormat="1" ht="14.25" hidden="1" customHeight="1">
      <c r="A22" s="183"/>
      <c r="B22" s="2549" t="s">
        <v>35</v>
      </c>
      <c r="C22" s="2550"/>
      <c r="D22" s="2551"/>
      <c r="E22" s="2552">
        <f t="shared" ref="E22" si="19">+E47+E72+E34+E99+E110</f>
        <v>0</v>
      </c>
      <c r="F22" s="2552">
        <f t="shared" ref="F22:I22" si="20">+F47+F72+F34+F99+F110</f>
        <v>0</v>
      </c>
      <c r="G22" s="2552">
        <f t="shared" si="20"/>
        <v>0</v>
      </c>
      <c r="H22" s="2552">
        <f t="shared" si="20"/>
        <v>0</v>
      </c>
      <c r="I22" s="2552">
        <f t="shared" si="20"/>
        <v>0</v>
      </c>
      <c r="J22" s="2552">
        <f>+J47+J72+J34+J99+J110</f>
        <v>0</v>
      </c>
      <c r="K22" s="2552">
        <f>+K47+K72+K34+K99+K110</f>
        <v>0</v>
      </c>
      <c r="L22" s="2553">
        <f>+L47+L72+L34+L99+L110</f>
        <v>0</v>
      </c>
      <c r="M22" s="2532" t="s">
        <v>61</v>
      </c>
      <c r="N22" s="2554"/>
    </row>
    <row r="23" spans="1:17" s="441" customFormat="1" ht="14.25" customHeight="1">
      <c r="A23" s="167"/>
      <c r="B23" s="826" t="s">
        <v>22</v>
      </c>
      <c r="C23" s="209"/>
      <c r="D23" s="846">
        <f>+D24+D27</f>
        <v>35652281</v>
      </c>
      <c r="E23" s="846">
        <f t="shared" ref="E23" si="21">+E24+E27</f>
        <v>33348284</v>
      </c>
      <c r="F23" s="846">
        <f t="shared" ref="F23:I23" si="22">+F24+F27</f>
        <v>2303997</v>
      </c>
      <c r="G23" s="1026">
        <f t="shared" si="22"/>
        <v>0</v>
      </c>
      <c r="H23" s="1026">
        <f t="shared" si="22"/>
        <v>0</v>
      </c>
      <c r="I23" s="1026">
        <f t="shared" si="22"/>
        <v>0</v>
      </c>
      <c r="J23" s="1026">
        <f>+J24+J27</f>
        <v>0</v>
      </c>
      <c r="K23" s="1026">
        <f>+K24+K27</f>
        <v>0</v>
      </c>
      <c r="L23" s="1107">
        <f>+L24+L27</f>
        <v>0</v>
      </c>
      <c r="M23" s="3378" t="s">
        <v>23</v>
      </c>
      <c r="N23" s="2555"/>
    </row>
    <row r="24" spans="1:17" s="371" customFormat="1" ht="14.25" customHeight="1">
      <c r="A24" s="183"/>
      <c r="B24" s="203" t="s">
        <v>11</v>
      </c>
      <c r="C24" s="2545"/>
      <c r="D24" s="2546">
        <f>+D25+D26</f>
        <v>35652281</v>
      </c>
      <c r="E24" s="2546">
        <f t="shared" ref="E24" si="23">+E25+E26</f>
        <v>33348284</v>
      </c>
      <c r="F24" s="2546">
        <f t="shared" ref="F24:I24" si="24">+F25+F26</f>
        <v>2303997</v>
      </c>
      <c r="G24" s="2547">
        <f t="shared" si="24"/>
        <v>0</v>
      </c>
      <c r="H24" s="2547">
        <f t="shared" si="24"/>
        <v>0</v>
      </c>
      <c r="I24" s="2547">
        <f t="shared" si="24"/>
        <v>0</v>
      </c>
      <c r="J24" s="2547">
        <f>+J25+J26</f>
        <v>0</v>
      </c>
      <c r="K24" s="2547">
        <f>+K25+K26</f>
        <v>0</v>
      </c>
      <c r="L24" s="2548">
        <f>+L25+L26</f>
        <v>0</v>
      </c>
      <c r="M24" s="3379"/>
      <c r="N24" s="2554"/>
    </row>
    <row r="25" spans="1:17" s="371" customFormat="1" ht="14.25" customHeight="1">
      <c r="A25" s="183"/>
      <c r="B25" s="2538" t="s">
        <v>13</v>
      </c>
      <c r="C25" s="2529"/>
      <c r="D25" s="2533">
        <f>D64+D50+D75+D113</f>
        <v>29452281</v>
      </c>
      <c r="E25" s="2533">
        <f t="shared" ref="E25" si="25">E64+E50+E75</f>
        <v>27148284</v>
      </c>
      <c r="F25" s="2533">
        <f t="shared" ref="F25:I25" si="26">F64+F50+F75</f>
        <v>2303997</v>
      </c>
      <c r="G25" s="2539">
        <f t="shared" si="26"/>
        <v>0</v>
      </c>
      <c r="H25" s="2539">
        <f t="shared" si="26"/>
        <v>0</v>
      </c>
      <c r="I25" s="2539">
        <f t="shared" si="26"/>
        <v>0</v>
      </c>
      <c r="J25" s="2539">
        <f>J64+J50+J75</f>
        <v>0</v>
      </c>
      <c r="K25" s="2534">
        <f>K64+K50+K75</f>
        <v>0</v>
      </c>
      <c r="L25" s="2556">
        <f>L64+L50+L75</f>
        <v>0</v>
      </c>
      <c r="M25" s="3379"/>
      <c r="N25" s="2554"/>
      <c r="P25" s="199"/>
    </row>
    <row r="26" spans="1:17" s="371" customFormat="1" ht="14.25" customHeight="1">
      <c r="A26" s="183"/>
      <c r="B26" s="2538" t="s">
        <v>541</v>
      </c>
      <c r="C26" s="2529"/>
      <c r="D26" s="2533">
        <f t="shared" ref="D26:I26" si="27">D65</f>
        <v>6200000</v>
      </c>
      <c r="E26" s="2533">
        <f>E65</f>
        <v>6200000</v>
      </c>
      <c r="F26" s="2539">
        <f t="shared" si="27"/>
        <v>0</v>
      </c>
      <c r="G26" s="2539">
        <f t="shared" si="27"/>
        <v>0</v>
      </c>
      <c r="H26" s="2539">
        <f t="shared" si="27"/>
        <v>0</v>
      </c>
      <c r="I26" s="2539">
        <f t="shared" si="27"/>
        <v>0</v>
      </c>
      <c r="J26" s="2534">
        <f>J65</f>
        <v>0</v>
      </c>
      <c r="K26" s="2539">
        <f>K65</f>
        <v>0</v>
      </c>
      <c r="L26" s="2556">
        <f>L65</f>
        <v>0</v>
      </c>
      <c r="M26" s="3379"/>
      <c r="N26" s="2554"/>
      <c r="P26" s="199"/>
    </row>
    <row r="27" spans="1:17" s="371" customFormat="1" ht="14.25" customHeight="1">
      <c r="A27" s="183"/>
      <c r="B27" s="203" t="s">
        <v>18</v>
      </c>
      <c r="C27" s="2545"/>
      <c r="D27" s="2546">
        <f t="shared" ref="D27:L27" si="28">SUM(D28:D28)</f>
        <v>0</v>
      </c>
      <c r="E27" s="2546">
        <f t="shared" si="28"/>
        <v>0</v>
      </c>
      <c r="F27" s="2547">
        <f t="shared" si="28"/>
        <v>0</v>
      </c>
      <c r="G27" s="2547">
        <f t="shared" si="28"/>
        <v>0</v>
      </c>
      <c r="H27" s="2547">
        <f t="shared" si="28"/>
        <v>0</v>
      </c>
      <c r="I27" s="2547">
        <f t="shared" si="28"/>
        <v>0</v>
      </c>
      <c r="J27" s="2547">
        <f t="shared" si="28"/>
        <v>0</v>
      </c>
      <c r="K27" s="2547">
        <f t="shared" si="28"/>
        <v>0</v>
      </c>
      <c r="L27" s="2557">
        <f t="shared" si="28"/>
        <v>0</v>
      </c>
      <c r="M27" s="3379"/>
      <c r="N27" s="2554"/>
      <c r="P27" s="199"/>
    </row>
    <row r="28" spans="1:17" s="371" customFormat="1" ht="14.25" customHeight="1" thickBot="1">
      <c r="A28" s="183"/>
      <c r="B28" s="2549" t="s">
        <v>35</v>
      </c>
      <c r="C28" s="2558"/>
      <c r="D28" s="2417">
        <f t="shared" ref="D28" si="29">D38+D52+D77+D102+D115</f>
        <v>0</v>
      </c>
      <c r="E28" s="2417">
        <f t="shared" ref="E28:I28" si="30">E38+E52+E77+E102+E115</f>
        <v>0</v>
      </c>
      <c r="F28" s="2559">
        <f t="shared" si="30"/>
        <v>0</v>
      </c>
      <c r="G28" s="2559">
        <f t="shared" si="30"/>
        <v>0</v>
      </c>
      <c r="H28" s="2559">
        <f t="shared" si="30"/>
        <v>0</v>
      </c>
      <c r="I28" s="2559">
        <f t="shared" si="30"/>
        <v>0</v>
      </c>
      <c r="J28" s="2559">
        <f>J38+J52+J77+J102+J115</f>
        <v>0</v>
      </c>
      <c r="K28" s="2559">
        <f>K38+K52+K77+K102+K115</f>
        <v>0</v>
      </c>
      <c r="L28" s="2560">
        <f>L38+L52+L77+L102+L115</f>
        <v>0</v>
      </c>
      <c r="M28" s="3380"/>
      <c r="N28" s="2554"/>
      <c r="P28" s="199"/>
    </row>
    <row r="29" spans="1:17" s="2566" customFormat="1" ht="18.75" hidden="1" customHeight="1">
      <c r="A29" s="3367"/>
      <c r="B29" s="2561"/>
      <c r="C29" s="829" t="s">
        <v>81</v>
      </c>
      <c r="D29" s="2562"/>
      <c r="E29" s="2563"/>
      <c r="F29" s="2563"/>
      <c r="G29" s="2563"/>
      <c r="H29" s="2563"/>
      <c r="I29" s="2563"/>
      <c r="J29" s="2564"/>
      <c r="K29" s="2563"/>
      <c r="L29" s="2562"/>
      <c r="M29" s="2565"/>
      <c r="N29" s="3370" t="s">
        <v>128</v>
      </c>
    </row>
    <row r="30" spans="1:17" s="393" customFormat="1" ht="13.5" hidden="1" customHeight="1">
      <c r="A30" s="3368"/>
      <c r="B30" s="830"/>
      <c r="C30" s="2567"/>
      <c r="D30" s="831"/>
      <c r="E30" s="831"/>
      <c r="F30" s="831"/>
      <c r="G30" s="831"/>
      <c r="H30" s="831"/>
      <c r="I30" s="831"/>
      <c r="J30" s="2568"/>
      <c r="K30" s="2569"/>
      <c r="L30" s="2570"/>
      <c r="M30" s="2571"/>
      <c r="N30" s="3371"/>
    </row>
    <row r="31" spans="1:17" s="393" customFormat="1" ht="12.75" hidden="1" customHeight="1">
      <c r="A31" s="3368"/>
      <c r="B31" s="832" t="s">
        <v>24</v>
      </c>
      <c r="C31" s="3374" t="s">
        <v>129</v>
      </c>
      <c r="D31" s="833"/>
      <c r="E31" s="833"/>
      <c r="F31" s="833"/>
      <c r="G31" s="833"/>
      <c r="H31" s="833"/>
      <c r="I31" s="833"/>
      <c r="J31" s="2572"/>
      <c r="K31" s="2573"/>
      <c r="L31" s="2574"/>
      <c r="M31" s="2575"/>
      <c r="N31" s="3372"/>
    </row>
    <row r="32" spans="1:17" s="393" customFormat="1" ht="12.75" hidden="1" customHeight="1">
      <c r="A32" s="3368"/>
      <c r="B32" s="257" t="s">
        <v>130</v>
      </c>
      <c r="C32" s="3388"/>
      <c r="D32" s="834"/>
      <c r="E32" s="834"/>
      <c r="F32" s="834"/>
      <c r="G32" s="834"/>
      <c r="H32" s="834"/>
      <c r="I32" s="834"/>
      <c r="J32" s="835"/>
      <c r="K32" s="258"/>
      <c r="L32" s="2576"/>
      <c r="M32" s="2577"/>
      <c r="N32" s="3372"/>
      <c r="Q32" s="398"/>
    </row>
    <row r="33" spans="1:17" s="393" customFormat="1" ht="13.5" hidden="1" customHeight="1">
      <c r="A33" s="3368"/>
      <c r="B33" s="836" t="s">
        <v>126</v>
      </c>
      <c r="C33" s="3388"/>
      <c r="D33" s="834"/>
      <c r="E33" s="834"/>
      <c r="F33" s="834"/>
      <c r="G33" s="834"/>
      <c r="H33" s="834"/>
      <c r="I33" s="834"/>
      <c r="J33" s="835"/>
      <c r="K33" s="258"/>
      <c r="L33" s="2576"/>
      <c r="M33" s="2578"/>
      <c r="N33" s="3372"/>
    </row>
    <row r="34" spans="1:17" s="393" customFormat="1" ht="13.5" hidden="1" customHeight="1">
      <c r="A34" s="3368"/>
      <c r="B34" s="837" t="s">
        <v>18</v>
      </c>
      <c r="C34" s="3388"/>
      <c r="D34" s="838"/>
      <c r="E34" s="838"/>
      <c r="F34" s="838"/>
      <c r="G34" s="838"/>
      <c r="H34" s="838"/>
      <c r="I34" s="838"/>
      <c r="J34" s="2579"/>
      <c r="K34" s="839"/>
      <c r="L34" s="2580"/>
      <c r="M34" s="2581"/>
      <c r="N34" s="3372"/>
    </row>
    <row r="35" spans="1:17" s="393" customFormat="1" ht="11.25" hidden="1" customHeight="1">
      <c r="A35" s="3368"/>
      <c r="B35" s="2582" t="s">
        <v>35</v>
      </c>
      <c r="C35" s="3388"/>
      <c r="D35" s="840"/>
      <c r="E35" s="840"/>
      <c r="F35" s="840"/>
      <c r="G35" s="840"/>
      <c r="H35" s="840"/>
      <c r="I35" s="840"/>
      <c r="J35" s="835"/>
      <c r="K35" s="258"/>
      <c r="L35" s="2576"/>
      <c r="M35" s="2577"/>
      <c r="N35" s="3372"/>
    </row>
    <row r="36" spans="1:17" s="393" customFormat="1" ht="13.5" hidden="1" customHeight="1">
      <c r="A36" s="3368"/>
      <c r="B36" s="626" t="s">
        <v>22</v>
      </c>
      <c r="C36" s="2583"/>
      <c r="D36" s="831"/>
      <c r="E36" s="831"/>
      <c r="F36" s="831"/>
      <c r="G36" s="831"/>
      <c r="H36" s="831"/>
      <c r="I36" s="831"/>
      <c r="J36" s="2568"/>
      <c r="K36" s="2569"/>
      <c r="L36" s="2570"/>
      <c r="M36" s="2732"/>
      <c r="N36" s="3372"/>
    </row>
    <row r="37" spans="1:17" s="393" customFormat="1" ht="13.5" hidden="1" customHeight="1">
      <c r="A37" s="3368"/>
      <c r="B37" s="837" t="s">
        <v>18</v>
      </c>
      <c r="C37" s="2584"/>
      <c r="D37" s="2585"/>
      <c r="E37" s="2585"/>
      <c r="F37" s="2585"/>
      <c r="G37" s="2585"/>
      <c r="H37" s="2585"/>
      <c r="I37" s="2585"/>
      <c r="J37" s="2586"/>
      <c r="K37" s="2587"/>
      <c r="L37" s="2588"/>
      <c r="M37" s="2732"/>
      <c r="N37" s="3372"/>
    </row>
    <row r="38" spans="1:17" s="393" customFormat="1" ht="14.25" hidden="1" customHeight="1" thickBot="1">
      <c r="A38" s="3369"/>
      <c r="B38" s="2589" t="s">
        <v>35</v>
      </c>
      <c r="C38" s="2590" t="s">
        <v>23</v>
      </c>
      <c r="D38" s="2591"/>
      <c r="E38" s="258"/>
      <c r="F38" s="258"/>
      <c r="G38" s="258"/>
      <c r="H38" s="258"/>
      <c r="I38" s="258"/>
      <c r="J38" s="835"/>
      <c r="K38" s="258"/>
      <c r="L38" s="2576"/>
      <c r="M38" s="2733"/>
      <c r="N38" s="3373"/>
    </row>
    <row r="39" spans="1:17" s="393" customFormat="1" ht="12" hidden="1">
      <c r="A39" s="3367"/>
      <c r="B39" s="3427"/>
      <c r="C39" s="3431" t="s">
        <v>81</v>
      </c>
      <c r="D39" s="2592"/>
      <c r="E39" s="2729"/>
      <c r="F39" s="2729"/>
      <c r="G39" s="2729"/>
      <c r="H39" s="2729"/>
      <c r="I39" s="2729"/>
      <c r="J39" s="2593"/>
      <c r="K39" s="2729"/>
      <c r="L39" s="2592"/>
      <c r="M39" s="2594"/>
      <c r="N39" s="3370" t="s">
        <v>360</v>
      </c>
    </row>
    <row r="40" spans="1:17" s="393" customFormat="1" ht="8.25" hidden="1" customHeight="1">
      <c r="A40" s="3368"/>
      <c r="B40" s="3428"/>
      <c r="C40" s="3432"/>
      <c r="D40" s="2595"/>
      <c r="E40" s="2730"/>
      <c r="F40" s="2730"/>
      <c r="G40" s="2730"/>
      <c r="H40" s="2730"/>
      <c r="I40" s="2730"/>
      <c r="J40" s="2596"/>
      <c r="K40" s="2730"/>
      <c r="L40" s="2595"/>
      <c r="M40" s="2597"/>
      <c r="N40" s="3371"/>
    </row>
    <row r="41" spans="1:17" s="393" customFormat="1" ht="13.5" hidden="1" customHeight="1">
      <c r="A41" s="3368"/>
      <c r="B41" s="626" t="s">
        <v>10</v>
      </c>
      <c r="C41" s="2598"/>
      <c r="D41" s="831"/>
      <c r="E41" s="831">
        <f t="shared" ref="E41" si="31">+E42+E46</f>
        <v>0</v>
      </c>
      <c r="F41" s="2599">
        <f t="shared" ref="F41:L41" si="32">+F42+F46</f>
        <v>0</v>
      </c>
      <c r="G41" s="2599">
        <f t="shared" si="32"/>
        <v>0</v>
      </c>
      <c r="H41" s="2599">
        <f t="shared" si="32"/>
        <v>0</v>
      </c>
      <c r="I41" s="2599">
        <f t="shared" si="32"/>
        <v>0</v>
      </c>
      <c r="J41" s="2599">
        <f t="shared" si="32"/>
        <v>0</v>
      </c>
      <c r="K41" s="2599">
        <f t="shared" si="32"/>
        <v>0</v>
      </c>
      <c r="L41" s="2600">
        <f t="shared" si="32"/>
        <v>0</v>
      </c>
      <c r="M41" s="2601">
        <f>+M42</f>
        <v>0</v>
      </c>
      <c r="N41" s="3371"/>
    </row>
    <row r="42" spans="1:17" s="393" customFormat="1" ht="13.5" hidden="1" customHeight="1">
      <c r="A42" s="3368"/>
      <c r="B42" s="2602" t="s">
        <v>24</v>
      </c>
      <c r="C42" s="3374" t="s">
        <v>225</v>
      </c>
      <c r="D42" s="2603"/>
      <c r="E42" s="2603">
        <f t="shared" ref="E42:L42" si="33">+E43+E44+E45</f>
        <v>0</v>
      </c>
      <c r="F42" s="2604">
        <f t="shared" si="33"/>
        <v>0</v>
      </c>
      <c r="G42" s="2604">
        <f t="shared" si="33"/>
        <v>0</v>
      </c>
      <c r="H42" s="2604">
        <f t="shared" si="33"/>
        <v>0</v>
      </c>
      <c r="I42" s="2604">
        <f t="shared" si="33"/>
        <v>0</v>
      </c>
      <c r="J42" s="2604">
        <f t="shared" si="33"/>
        <v>0</v>
      </c>
      <c r="K42" s="2604">
        <f t="shared" si="33"/>
        <v>0</v>
      </c>
      <c r="L42" s="2605">
        <f t="shared" si="33"/>
        <v>0</v>
      </c>
      <c r="M42" s="2606">
        <f>+M44+M45</f>
        <v>0</v>
      </c>
      <c r="N42" s="3372"/>
    </row>
    <row r="43" spans="1:17" s="393" customFormat="1" ht="13.5" hidden="1" customHeight="1">
      <c r="A43" s="3368"/>
      <c r="B43" s="2607" t="s">
        <v>130</v>
      </c>
      <c r="C43" s="3388"/>
      <c r="D43" s="280"/>
      <c r="E43" s="1333">
        <v>0</v>
      </c>
      <c r="F43" s="849">
        <v>0</v>
      </c>
      <c r="G43" s="849">
        <v>0</v>
      </c>
      <c r="H43" s="849">
        <v>0</v>
      </c>
      <c r="I43" s="849">
        <v>0</v>
      </c>
      <c r="J43" s="849">
        <v>0</v>
      </c>
      <c r="K43" s="849">
        <v>0</v>
      </c>
      <c r="L43" s="2271">
        <v>0</v>
      </c>
      <c r="M43" s="2532" t="s">
        <v>61</v>
      </c>
      <c r="N43" s="3372"/>
      <c r="Q43" s="398"/>
    </row>
    <row r="44" spans="1:17" s="393" customFormat="1" ht="12.75" hidden="1" customHeight="1">
      <c r="A44" s="3368"/>
      <c r="B44" s="2608" t="s">
        <v>126</v>
      </c>
      <c r="C44" s="3388"/>
      <c r="D44" s="280"/>
      <c r="E44" s="1333">
        <v>0</v>
      </c>
      <c r="F44" s="849">
        <v>0</v>
      </c>
      <c r="G44" s="849">
        <v>0</v>
      </c>
      <c r="H44" s="849">
        <v>0</v>
      </c>
      <c r="I44" s="849">
        <v>0</v>
      </c>
      <c r="J44" s="849">
        <v>0</v>
      </c>
      <c r="K44" s="849">
        <v>0</v>
      </c>
      <c r="L44" s="2271">
        <v>0</v>
      </c>
      <c r="M44" s="2609">
        <f>SUM(F44:L44)</f>
        <v>0</v>
      </c>
      <c r="N44" s="3372"/>
    </row>
    <row r="45" spans="1:17" s="381" customFormat="1" ht="12" hidden="1" customHeight="1">
      <c r="A45" s="3368"/>
      <c r="B45" s="150" t="s">
        <v>78</v>
      </c>
      <c r="C45" s="3388"/>
      <c r="D45" s="280"/>
      <c r="E45" s="1333">
        <v>0</v>
      </c>
      <c r="F45" s="841">
        <v>0</v>
      </c>
      <c r="G45" s="841">
        <v>0</v>
      </c>
      <c r="H45" s="841">
        <v>0</v>
      </c>
      <c r="I45" s="841">
        <v>0</v>
      </c>
      <c r="J45" s="841">
        <v>0</v>
      </c>
      <c r="K45" s="841">
        <v>0</v>
      </c>
      <c r="L45" s="842">
        <v>0</v>
      </c>
      <c r="M45" s="2609">
        <f>SUM(F45:L45)</f>
        <v>0</v>
      </c>
      <c r="N45" s="3372"/>
    </row>
    <row r="46" spans="1:17" s="393" customFormat="1" ht="12.75" hidden="1" customHeight="1">
      <c r="A46" s="3368"/>
      <c r="B46" s="2293" t="s">
        <v>18</v>
      </c>
      <c r="C46" s="3388"/>
      <c r="D46" s="838"/>
      <c r="E46" s="838">
        <f>+E47</f>
        <v>0</v>
      </c>
      <c r="F46" s="2611">
        <f t="shared" ref="F46:M46" si="34">+F47</f>
        <v>0</v>
      </c>
      <c r="G46" s="2611">
        <f t="shared" si="34"/>
        <v>0</v>
      </c>
      <c r="H46" s="2611">
        <f t="shared" si="34"/>
        <v>0</v>
      </c>
      <c r="I46" s="2611">
        <f t="shared" si="34"/>
        <v>0</v>
      </c>
      <c r="J46" s="2611">
        <f t="shared" si="34"/>
        <v>0</v>
      </c>
      <c r="K46" s="2611">
        <f t="shared" si="34"/>
        <v>0</v>
      </c>
      <c r="L46" s="850">
        <f t="shared" si="34"/>
        <v>0</v>
      </c>
      <c r="M46" s="2612" t="str">
        <f t="shared" si="34"/>
        <v>x</v>
      </c>
      <c r="N46" s="3372"/>
    </row>
    <row r="47" spans="1:17" s="393" customFormat="1" ht="12" hidden="1" customHeight="1">
      <c r="A47" s="3368"/>
      <c r="B47" s="2582" t="s">
        <v>35</v>
      </c>
      <c r="C47" s="3388"/>
      <c r="D47" s="280"/>
      <c r="E47" s="1333">
        <v>0</v>
      </c>
      <c r="F47" s="849">
        <v>0</v>
      </c>
      <c r="G47" s="849">
        <v>0</v>
      </c>
      <c r="H47" s="849">
        <v>0</v>
      </c>
      <c r="I47" s="849">
        <v>0</v>
      </c>
      <c r="J47" s="849">
        <v>0</v>
      </c>
      <c r="K47" s="849">
        <v>0</v>
      </c>
      <c r="L47" s="849">
        <v>0</v>
      </c>
      <c r="M47" s="2532" t="s">
        <v>61</v>
      </c>
      <c r="N47" s="3372"/>
    </row>
    <row r="48" spans="1:17" s="393" customFormat="1" ht="13.5" hidden="1" customHeight="1">
      <c r="A48" s="3368"/>
      <c r="B48" s="626" t="s">
        <v>22</v>
      </c>
      <c r="C48" s="2583"/>
      <c r="D48" s="831"/>
      <c r="E48" s="2517">
        <f t="shared" ref="E48" si="35">+E51</f>
        <v>0</v>
      </c>
      <c r="F48" s="2613">
        <f t="shared" ref="F48:L48" si="36">+F49+F51</f>
        <v>0</v>
      </c>
      <c r="G48" s="2613">
        <f t="shared" si="36"/>
        <v>0</v>
      </c>
      <c r="H48" s="2613">
        <f t="shared" si="36"/>
        <v>0</v>
      </c>
      <c r="I48" s="2613">
        <f t="shared" si="36"/>
        <v>0</v>
      </c>
      <c r="J48" s="2613">
        <f t="shared" si="36"/>
        <v>0</v>
      </c>
      <c r="K48" s="2613">
        <f t="shared" si="36"/>
        <v>0</v>
      </c>
      <c r="L48" s="2613">
        <f t="shared" si="36"/>
        <v>0</v>
      </c>
      <c r="M48" s="2732"/>
      <c r="N48" s="3372"/>
    </row>
    <row r="49" spans="1:18" s="393" customFormat="1" ht="13.5" hidden="1" customHeight="1">
      <c r="A49" s="3368"/>
      <c r="B49" s="2614" t="s">
        <v>24</v>
      </c>
      <c r="C49" s="3429" t="s">
        <v>85</v>
      </c>
      <c r="D49" s="2585"/>
      <c r="E49" s="2585">
        <f>+E50</f>
        <v>0</v>
      </c>
      <c r="F49" s="2615">
        <f t="shared" ref="F49:L49" si="37">+F50</f>
        <v>0</v>
      </c>
      <c r="G49" s="2615">
        <f t="shared" si="37"/>
        <v>0</v>
      </c>
      <c r="H49" s="2615">
        <f t="shared" si="37"/>
        <v>0</v>
      </c>
      <c r="I49" s="2615">
        <f t="shared" si="37"/>
        <v>0</v>
      </c>
      <c r="J49" s="2615">
        <f t="shared" si="37"/>
        <v>0</v>
      </c>
      <c r="K49" s="2615">
        <f t="shared" si="37"/>
        <v>0</v>
      </c>
      <c r="L49" s="2615">
        <f t="shared" si="37"/>
        <v>0</v>
      </c>
      <c r="M49" s="2732"/>
      <c r="N49" s="3372"/>
    </row>
    <row r="50" spans="1:18" s="393" customFormat="1" ht="12.75" hidden="1" customHeight="1">
      <c r="A50" s="3368"/>
      <c r="B50" s="150" t="s">
        <v>78</v>
      </c>
      <c r="C50" s="3430"/>
      <c r="D50" s="280"/>
      <c r="E50" s="1333"/>
      <c r="F50" s="849"/>
      <c r="G50" s="849">
        <v>0</v>
      </c>
      <c r="H50" s="849">
        <v>0</v>
      </c>
      <c r="I50" s="849">
        <v>0</v>
      </c>
      <c r="J50" s="849">
        <v>0</v>
      </c>
      <c r="K50" s="849">
        <v>0</v>
      </c>
      <c r="L50" s="849">
        <v>0</v>
      </c>
      <c r="M50" s="2732"/>
      <c r="N50" s="3372"/>
    </row>
    <row r="51" spans="1:18" s="393" customFormat="1" ht="12.75" hidden="1" customHeight="1">
      <c r="A51" s="3368"/>
      <c r="B51" s="2293" t="s">
        <v>18</v>
      </c>
      <c r="C51" s="2616"/>
      <c r="D51" s="2585"/>
      <c r="E51" s="2585">
        <f t="shared" ref="E51:L51" si="38">+E52</f>
        <v>0</v>
      </c>
      <c r="F51" s="2615">
        <f t="shared" si="38"/>
        <v>0</v>
      </c>
      <c r="G51" s="2615">
        <f t="shared" si="38"/>
        <v>0</v>
      </c>
      <c r="H51" s="2615">
        <f t="shared" si="38"/>
        <v>0</v>
      </c>
      <c r="I51" s="2615">
        <f t="shared" si="38"/>
        <v>0</v>
      </c>
      <c r="J51" s="2615">
        <f t="shared" si="38"/>
        <v>0</v>
      </c>
      <c r="K51" s="2615">
        <f t="shared" si="38"/>
        <v>0</v>
      </c>
      <c r="L51" s="2615">
        <f t="shared" si="38"/>
        <v>0</v>
      </c>
      <c r="M51" s="2732"/>
      <c r="N51" s="3372"/>
    </row>
    <row r="52" spans="1:18" s="393" customFormat="1" ht="13.5" hidden="1" customHeight="1" thickBot="1">
      <c r="A52" s="3369"/>
      <c r="B52" s="84" t="s">
        <v>35</v>
      </c>
      <c r="C52" s="2617" t="s">
        <v>23</v>
      </c>
      <c r="D52" s="280"/>
      <c r="E52" s="1333"/>
      <c r="F52" s="2618">
        <v>0</v>
      </c>
      <c r="G52" s="2618">
        <v>0</v>
      </c>
      <c r="H52" s="2618">
        <v>0</v>
      </c>
      <c r="I52" s="2618">
        <v>0</v>
      </c>
      <c r="J52" s="2618">
        <v>0</v>
      </c>
      <c r="K52" s="2618">
        <v>0</v>
      </c>
      <c r="L52" s="2618">
        <v>0</v>
      </c>
      <c r="M52" s="2733"/>
      <c r="N52" s="3373"/>
    </row>
    <row r="53" spans="1:18" s="393" customFormat="1" ht="38.25" customHeight="1">
      <c r="A53" s="3393" t="s">
        <v>63</v>
      </c>
      <c r="B53" s="2283" t="s">
        <v>421</v>
      </c>
      <c r="C53" s="829" t="s">
        <v>81</v>
      </c>
      <c r="D53" s="2592"/>
      <c r="E53" s="2729"/>
      <c r="F53" s="2729"/>
      <c r="G53" s="2729"/>
      <c r="H53" s="2729"/>
      <c r="I53" s="2729"/>
      <c r="J53" s="2593"/>
      <c r="K53" s="2729"/>
      <c r="L53" s="2592"/>
      <c r="M53" s="2594"/>
      <c r="N53" s="3370" t="s">
        <v>361</v>
      </c>
      <c r="P53" s="3399"/>
      <c r="Q53" s="3399"/>
      <c r="R53" s="3399"/>
    </row>
    <row r="54" spans="1:18" s="393" customFormat="1" ht="13.5" customHeight="1">
      <c r="A54" s="3382"/>
      <c r="B54" s="626" t="s">
        <v>10</v>
      </c>
      <c r="C54" s="2619"/>
      <c r="D54" s="831">
        <f>+D55+D60</f>
        <v>82027114</v>
      </c>
      <c r="E54" s="831">
        <f t="shared" ref="E54" si="39">+E55+E60</f>
        <v>72536261</v>
      </c>
      <c r="F54" s="831">
        <f t="shared" ref="F54:L54" si="40">+F55</f>
        <v>9490853</v>
      </c>
      <c r="G54" s="2599">
        <f t="shared" si="40"/>
        <v>0</v>
      </c>
      <c r="H54" s="2599">
        <f t="shared" si="40"/>
        <v>0</v>
      </c>
      <c r="I54" s="2599">
        <f t="shared" si="40"/>
        <v>0</v>
      </c>
      <c r="J54" s="2599">
        <f t="shared" si="40"/>
        <v>0</v>
      </c>
      <c r="K54" s="2599">
        <f t="shared" si="40"/>
        <v>0</v>
      </c>
      <c r="L54" s="2620">
        <f t="shared" si="40"/>
        <v>0</v>
      </c>
      <c r="M54" s="2601">
        <f>+M55+M60</f>
        <v>2303997</v>
      </c>
      <c r="N54" s="3371"/>
      <c r="O54" s="398"/>
      <c r="P54" s="3399"/>
      <c r="Q54" s="3399"/>
      <c r="R54" s="3399"/>
    </row>
    <row r="55" spans="1:18" s="393" customFormat="1" ht="13.5" customHeight="1">
      <c r="A55" s="3382"/>
      <c r="B55" s="2602" t="s">
        <v>24</v>
      </c>
      <c r="C55" s="3374" t="s">
        <v>129</v>
      </c>
      <c r="D55" s="833">
        <f>SUM(D56:D59)</f>
        <v>82027114</v>
      </c>
      <c r="E55" s="833">
        <f>+E56+E57+E58+E59</f>
        <v>72536261</v>
      </c>
      <c r="F55" s="833">
        <f t="shared" ref="F55:L55" si="41">+F56+F57+F58+F59</f>
        <v>9490853</v>
      </c>
      <c r="G55" s="2621">
        <f t="shared" si="41"/>
        <v>0</v>
      </c>
      <c r="H55" s="2621">
        <f t="shared" si="41"/>
        <v>0</v>
      </c>
      <c r="I55" s="2621">
        <f t="shared" si="41"/>
        <v>0</v>
      </c>
      <c r="J55" s="2621">
        <f t="shared" si="41"/>
        <v>0</v>
      </c>
      <c r="K55" s="2621">
        <f t="shared" si="41"/>
        <v>0</v>
      </c>
      <c r="L55" s="2622">
        <f t="shared" si="41"/>
        <v>0</v>
      </c>
      <c r="M55" s="2606">
        <f>+M57+M58+M59</f>
        <v>2303997</v>
      </c>
      <c r="N55" s="3371"/>
      <c r="P55" s="3399"/>
      <c r="Q55" s="3399"/>
      <c r="R55" s="3399"/>
    </row>
    <row r="56" spans="1:18" s="393" customFormat="1" ht="13.5" customHeight="1">
      <c r="A56" s="3382"/>
      <c r="B56" s="2607" t="s">
        <v>130</v>
      </c>
      <c r="C56" s="3388"/>
      <c r="D56" s="280">
        <f>E56+F56+G56+H56+I56+J56+K56+L56</f>
        <v>21471178</v>
      </c>
      <c r="E56" s="2623">
        <v>14284322</v>
      </c>
      <c r="F56" s="834">
        <v>7186856</v>
      </c>
      <c r="G56" s="849">
        <v>0</v>
      </c>
      <c r="H56" s="849">
        <v>0</v>
      </c>
      <c r="I56" s="849">
        <v>0</v>
      </c>
      <c r="J56" s="849">
        <v>0</v>
      </c>
      <c r="K56" s="849">
        <v>0</v>
      </c>
      <c r="L56" s="2624">
        <v>0</v>
      </c>
      <c r="M56" s="2532" t="s">
        <v>61</v>
      </c>
      <c r="N56" s="3372"/>
      <c r="P56" s="3399"/>
      <c r="Q56" s="3399"/>
      <c r="R56" s="3399"/>
    </row>
    <row r="57" spans="1:18" s="393" customFormat="1" ht="13.5" customHeight="1">
      <c r="A57" s="3382"/>
      <c r="B57" s="2608" t="s">
        <v>131</v>
      </c>
      <c r="C57" s="3388"/>
      <c r="D57" s="280">
        <f>E57+F57+G57+H57+I57+J57+K57+L57</f>
        <v>24903655</v>
      </c>
      <c r="E57" s="2623">
        <v>24903655</v>
      </c>
      <c r="F57" s="849">
        <v>0</v>
      </c>
      <c r="G57" s="849">
        <v>0</v>
      </c>
      <c r="H57" s="849">
        <v>0</v>
      </c>
      <c r="I57" s="849">
        <v>0</v>
      </c>
      <c r="J57" s="849">
        <v>0</v>
      </c>
      <c r="K57" s="849">
        <v>0</v>
      </c>
      <c r="L57" s="2624">
        <v>0</v>
      </c>
      <c r="M57" s="2609">
        <f>SUM(F57:L57)</f>
        <v>0</v>
      </c>
      <c r="N57" s="3372"/>
      <c r="P57" s="3399"/>
      <c r="Q57" s="3399"/>
      <c r="R57" s="3399"/>
    </row>
    <row r="58" spans="1:18" s="393" customFormat="1" ht="12" customHeight="1">
      <c r="A58" s="3382"/>
      <c r="B58" s="150" t="s">
        <v>13</v>
      </c>
      <c r="C58" s="3388"/>
      <c r="D58" s="280">
        <f>E58+F58+G58+H58+I58+J58+K58+L58</f>
        <v>29452281</v>
      </c>
      <c r="E58" s="2623">
        <v>27148284</v>
      </c>
      <c r="F58" s="834">
        <v>2303997</v>
      </c>
      <c r="G58" s="2625">
        <v>0</v>
      </c>
      <c r="H58" s="2625">
        <v>0</v>
      </c>
      <c r="I58" s="2625">
        <v>0</v>
      </c>
      <c r="J58" s="2625">
        <v>0</v>
      </c>
      <c r="K58" s="2625">
        <v>0</v>
      </c>
      <c r="L58" s="2626">
        <v>0</v>
      </c>
      <c r="M58" s="2609">
        <f>SUM(F58:L58)</f>
        <v>2303997</v>
      </c>
      <c r="N58" s="3372"/>
      <c r="P58" s="3399"/>
      <c r="Q58" s="3399"/>
      <c r="R58" s="3399"/>
    </row>
    <row r="59" spans="1:18" s="393" customFormat="1" ht="13.5" customHeight="1">
      <c r="A59" s="3382"/>
      <c r="B59" s="150" t="s">
        <v>127</v>
      </c>
      <c r="C59" s="3388"/>
      <c r="D59" s="280">
        <f>E59+F59+G59+H59+I59+J59+K59+L59</f>
        <v>6200000</v>
      </c>
      <c r="E59" s="2623">
        <v>6200000</v>
      </c>
      <c r="F59" s="2625">
        <v>0</v>
      </c>
      <c r="G59" s="2625">
        <v>0</v>
      </c>
      <c r="H59" s="2625">
        <v>0</v>
      </c>
      <c r="I59" s="2625">
        <v>0</v>
      </c>
      <c r="J59" s="2625">
        <v>0</v>
      </c>
      <c r="K59" s="2625">
        <v>0</v>
      </c>
      <c r="L59" s="2626">
        <v>0</v>
      </c>
      <c r="M59" s="2609">
        <f>SUM(F59:L59)</f>
        <v>0</v>
      </c>
      <c r="N59" s="3372"/>
      <c r="P59" s="3399"/>
      <c r="Q59" s="3399"/>
      <c r="R59" s="3399"/>
    </row>
    <row r="60" spans="1:18" s="393" customFormat="1" ht="18.75" hidden="1" customHeight="1">
      <c r="A60" s="3382"/>
      <c r="B60" s="2737" t="s">
        <v>18</v>
      </c>
      <c r="C60" s="3377"/>
      <c r="D60" s="2627">
        <f>+D61</f>
        <v>0</v>
      </c>
      <c r="E60" s="2627"/>
      <c r="F60" s="2628"/>
      <c r="G60" s="2628"/>
      <c r="H60" s="2628"/>
      <c r="I60" s="2629"/>
      <c r="J60" s="2629"/>
      <c r="K60" s="2630"/>
      <c r="L60" s="2629"/>
      <c r="M60" s="2577"/>
      <c r="N60" s="3372"/>
      <c r="P60" s="3399"/>
      <c r="Q60" s="3399"/>
      <c r="R60" s="3399"/>
    </row>
    <row r="61" spans="1:18" s="393" customFormat="1" ht="16.5" hidden="1" customHeight="1">
      <c r="A61" s="3382"/>
      <c r="B61" s="2627" t="s">
        <v>35</v>
      </c>
      <c r="C61" s="2631"/>
      <c r="D61" s="2627">
        <v>0</v>
      </c>
      <c r="E61" s="2627"/>
      <c r="F61" s="2628"/>
      <c r="G61" s="2628"/>
      <c r="H61" s="2628"/>
      <c r="I61" s="2628"/>
      <c r="J61" s="2629"/>
      <c r="K61" s="2630"/>
      <c r="L61" s="2628"/>
      <c r="M61" s="2632"/>
      <c r="N61" s="3372"/>
      <c r="P61" s="3399"/>
      <c r="Q61" s="3399"/>
      <c r="R61" s="3399"/>
    </row>
    <row r="62" spans="1:18" s="393" customFormat="1" ht="13.5" customHeight="1">
      <c r="A62" s="3382"/>
      <c r="B62" s="626" t="s">
        <v>22</v>
      </c>
      <c r="C62" s="2619"/>
      <c r="D62" s="831">
        <f>D64+D65</f>
        <v>35652281</v>
      </c>
      <c r="E62" s="831">
        <f t="shared" ref="E62" si="42">E64+E65</f>
        <v>33348284</v>
      </c>
      <c r="F62" s="831">
        <f t="shared" ref="F62:L62" si="43">+F63</f>
        <v>2303997</v>
      </c>
      <c r="G62" s="2599">
        <f t="shared" si="43"/>
        <v>0</v>
      </c>
      <c r="H62" s="2599">
        <f t="shared" si="43"/>
        <v>0</v>
      </c>
      <c r="I62" s="2599">
        <f t="shared" si="43"/>
        <v>0</v>
      </c>
      <c r="J62" s="2599">
        <f t="shared" si="43"/>
        <v>0</v>
      </c>
      <c r="K62" s="2599">
        <f t="shared" si="43"/>
        <v>0</v>
      </c>
      <c r="L62" s="2620">
        <f t="shared" si="43"/>
        <v>0</v>
      </c>
      <c r="M62" s="3407" t="s">
        <v>61</v>
      </c>
      <c r="N62" s="3372"/>
      <c r="P62" s="3399"/>
      <c r="Q62" s="3399"/>
      <c r="R62" s="3399"/>
    </row>
    <row r="63" spans="1:18" s="381" customFormat="1" ht="13.5" customHeight="1">
      <c r="A63" s="3382"/>
      <c r="B63" s="783" t="s">
        <v>24</v>
      </c>
      <c r="C63" s="3400" t="s">
        <v>129</v>
      </c>
      <c r="D63" s="2679">
        <f>+D64+D65</f>
        <v>35652281</v>
      </c>
      <c r="E63" s="2679">
        <f t="shared" ref="E63" si="44">+E64+E65</f>
        <v>33348284</v>
      </c>
      <c r="F63" s="2679">
        <f t="shared" ref="F63:L63" si="45">+F64+F65</f>
        <v>2303997</v>
      </c>
      <c r="G63" s="2698">
        <f t="shared" si="45"/>
        <v>0</v>
      </c>
      <c r="H63" s="2698">
        <f t="shared" si="45"/>
        <v>0</v>
      </c>
      <c r="I63" s="2698">
        <f t="shared" si="45"/>
        <v>0</v>
      </c>
      <c r="J63" s="2698">
        <f t="shared" si="45"/>
        <v>0</v>
      </c>
      <c r="K63" s="2698">
        <f t="shared" si="45"/>
        <v>0</v>
      </c>
      <c r="L63" s="2755">
        <f t="shared" si="45"/>
        <v>0</v>
      </c>
      <c r="M63" s="3408"/>
      <c r="N63" s="3372"/>
      <c r="P63" s="3399"/>
      <c r="Q63" s="3399"/>
      <c r="R63" s="3399"/>
    </row>
    <row r="64" spans="1:18" s="393" customFormat="1" ht="13.5" customHeight="1">
      <c r="A64" s="3382"/>
      <c r="B64" s="150" t="s">
        <v>13</v>
      </c>
      <c r="C64" s="3401"/>
      <c r="D64" s="280">
        <f>E64+F64+G64+H64+I64+J64+K64+L64</f>
        <v>29452281</v>
      </c>
      <c r="E64" s="2623">
        <v>27148284</v>
      </c>
      <c r="F64" s="2623">
        <v>2303997</v>
      </c>
      <c r="G64" s="2625">
        <v>0</v>
      </c>
      <c r="H64" s="2625">
        <v>0</v>
      </c>
      <c r="I64" s="2625">
        <v>0</v>
      </c>
      <c r="J64" s="2625">
        <v>0</v>
      </c>
      <c r="K64" s="2625">
        <v>0</v>
      </c>
      <c r="L64" s="2626">
        <v>0</v>
      </c>
      <c r="M64" s="3408"/>
      <c r="N64" s="3372"/>
    </row>
    <row r="65" spans="1:18" s="393" customFormat="1" ht="15" customHeight="1" thickBot="1">
      <c r="A65" s="3383"/>
      <c r="B65" s="338" t="s">
        <v>127</v>
      </c>
      <c r="C65" s="3402"/>
      <c r="D65" s="280">
        <f>E65+F65+G65+H65+I65+J65+K65+L65</f>
        <v>6200000</v>
      </c>
      <c r="E65" s="2623">
        <v>6200000</v>
      </c>
      <c r="F65" s="847">
        <v>0</v>
      </c>
      <c r="G65" s="847">
        <v>0</v>
      </c>
      <c r="H65" s="847">
        <v>0</v>
      </c>
      <c r="I65" s="847">
        <v>0</v>
      </c>
      <c r="J65" s="847">
        <v>0</v>
      </c>
      <c r="K65" s="847">
        <v>0</v>
      </c>
      <c r="L65" s="2274">
        <v>0</v>
      </c>
      <c r="M65" s="3409"/>
      <c r="N65" s="3373"/>
    </row>
    <row r="66" spans="1:18" s="393" customFormat="1" ht="24" hidden="1">
      <c r="A66" s="3394"/>
      <c r="B66" s="2633"/>
      <c r="C66" s="2634" t="s">
        <v>81</v>
      </c>
      <c r="D66" s="2635"/>
      <c r="E66" s="2636"/>
      <c r="F66" s="2636"/>
      <c r="G66" s="2636"/>
      <c r="H66" s="2636"/>
      <c r="I66" s="2636"/>
      <c r="J66" s="2637"/>
      <c r="K66" s="2636"/>
      <c r="L66" s="2635"/>
      <c r="M66" s="2597"/>
      <c r="N66" s="3404" t="s">
        <v>362</v>
      </c>
      <c r="P66" s="3399"/>
      <c r="Q66" s="3399"/>
      <c r="R66" s="3399"/>
    </row>
    <row r="67" spans="1:18" s="393" customFormat="1" ht="13.5" hidden="1" customHeight="1">
      <c r="A67" s="3403"/>
      <c r="B67" s="830" t="s">
        <v>10</v>
      </c>
      <c r="C67" s="2583"/>
      <c r="D67" s="831"/>
      <c r="E67" s="831">
        <v>0</v>
      </c>
      <c r="F67" s="2599">
        <f t="shared" ref="F67:L67" si="46">+F68+F71</f>
        <v>0</v>
      </c>
      <c r="G67" s="2599">
        <f t="shared" si="46"/>
        <v>0</v>
      </c>
      <c r="H67" s="2599">
        <f t="shared" si="46"/>
        <v>0</v>
      </c>
      <c r="I67" s="2599">
        <f t="shared" si="46"/>
        <v>0</v>
      </c>
      <c r="J67" s="2599">
        <f t="shared" si="46"/>
        <v>0</v>
      </c>
      <c r="K67" s="2599">
        <f t="shared" si="46"/>
        <v>0</v>
      </c>
      <c r="L67" s="2600">
        <f t="shared" si="46"/>
        <v>0</v>
      </c>
      <c r="M67" s="2601">
        <f>+M68</f>
        <v>0</v>
      </c>
      <c r="N67" s="3404"/>
      <c r="P67" s="3399"/>
      <c r="Q67" s="3399"/>
      <c r="R67" s="3399"/>
    </row>
    <row r="68" spans="1:18" s="393" customFormat="1" ht="13.5" hidden="1" customHeight="1">
      <c r="A68" s="3403"/>
      <c r="B68" s="2217" t="s">
        <v>24</v>
      </c>
      <c r="C68" s="3374" t="s">
        <v>129</v>
      </c>
      <c r="D68" s="833"/>
      <c r="E68" s="833">
        <v>0</v>
      </c>
      <c r="F68" s="2621">
        <f t="shared" ref="F68:M68" si="47">+F69+F70</f>
        <v>0</v>
      </c>
      <c r="G68" s="2621">
        <f t="shared" si="47"/>
        <v>0</v>
      </c>
      <c r="H68" s="2621">
        <f t="shared" si="47"/>
        <v>0</v>
      </c>
      <c r="I68" s="2621">
        <f t="shared" si="47"/>
        <v>0</v>
      </c>
      <c r="J68" s="2621">
        <f t="shared" si="47"/>
        <v>0</v>
      </c>
      <c r="K68" s="2621">
        <f t="shared" si="47"/>
        <v>0</v>
      </c>
      <c r="L68" s="2638">
        <f t="shared" si="47"/>
        <v>0</v>
      </c>
      <c r="M68" s="2606">
        <f t="shared" si="47"/>
        <v>0</v>
      </c>
      <c r="N68" s="3404"/>
      <c r="P68" s="3399"/>
      <c r="Q68" s="3399"/>
      <c r="R68" s="3399"/>
    </row>
    <row r="69" spans="1:18" s="393" customFormat="1" ht="13.5" hidden="1" customHeight="1">
      <c r="A69" s="3403"/>
      <c r="B69" s="2639" t="s">
        <v>131</v>
      </c>
      <c r="C69" s="3375"/>
      <c r="D69" s="280"/>
      <c r="E69" s="1333"/>
      <c r="F69" s="2641">
        <v>0</v>
      </c>
      <c r="G69" s="2641">
        <v>0</v>
      </c>
      <c r="H69" s="2641">
        <v>0</v>
      </c>
      <c r="I69" s="2641">
        <v>0</v>
      </c>
      <c r="J69" s="2641">
        <v>0</v>
      </c>
      <c r="K69" s="2641">
        <v>0</v>
      </c>
      <c r="L69" s="2642">
        <v>0</v>
      </c>
      <c r="M69" s="2609">
        <f>SUM(F69:L69)</f>
        <v>0</v>
      </c>
      <c r="N69" s="3404"/>
      <c r="P69" s="3399"/>
      <c r="Q69" s="3399"/>
      <c r="R69" s="3399"/>
    </row>
    <row r="70" spans="1:18" s="393" customFormat="1" ht="13.5" hidden="1" customHeight="1">
      <c r="A70" s="3403"/>
      <c r="B70" s="2643" t="s">
        <v>13</v>
      </c>
      <c r="C70" s="3376"/>
      <c r="D70" s="1331"/>
      <c r="E70" s="1333"/>
      <c r="F70" s="841">
        <v>0</v>
      </c>
      <c r="G70" s="841">
        <v>0</v>
      </c>
      <c r="H70" s="841">
        <v>0</v>
      </c>
      <c r="I70" s="841">
        <v>0</v>
      </c>
      <c r="J70" s="841">
        <v>0</v>
      </c>
      <c r="K70" s="841">
        <v>0</v>
      </c>
      <c r="L70" s="842">
        <v>0</v>
      </c>
      <c r="M70" s="2609">
        <f>SUM(F70:L70)</f>
        <v>0</v>
      </c>
      <c r="N70" s="3404"/>
      <c r="P70" s="3399"/>
      <c r="Q70" s="3399"/>
      <c r="R70" s="3399"/>
    </row>
    <row r="71" spans="1:18" s="393" customFormat="1" ht="13.5" hidden="1" customHeight="1">
      <c r="A71" s="3403"/>
      <c r="B71" s="843" t="s">
        <v>18</v>
      </c>
      <c r="C71" s="3109" t="s">
        <v>23</v>
      </c>
      <c r="D71" s="2644"/>
      <c r="E71" s="2644">
        <v>0</v>
      </c>
      <c r="F71" s="2645">
        <f t="shared" ref="F71:L71" si="48">+F72</f>
        <v>0</v>
      </c>
      <c r="G71" s="2645">
        <f t="shared" si="48"/>
        <v>0</v>
      </c>
      <c r="H71" s="2645">
        <f t="shared" si="48"/>
        <v>0</v>
      </c>
      <c r="I71" s="2645">
        <f t="shared" si="48"/>
        <v>0</v>
      </c>
      <c r="J71" s="2645">
        <f t="shared" si="48"/>
        <v>0</v>
      </c>
      <c r="K71" s="2646">
        <f t="shared" si="48"/>
        <v>0</v>
      </c>
      <c r="L71" s="2645">
        <f t="shared" si="48"/>
        <v>0</v>
      </c>
      <c r="M71" s="2532" t="s">
        <v>61</v>
      </c>
      <c r="N71" s="3404"/>
      <c r="P71" s="3399"/>
      <c r="Q71" s="3399"/>
      <c r="R71" s="3399"/>
    </row>
    <row r="72" spans="1:18" s="393" customFormat="1" ht="13.5" hidden="1" customHeight="1">
      <c r="A72" s="3403"/>
      <c r="B72" s="844" t="s">
        <v>35</v>
      </c>
      <c r="C72" s="3377"/>
      <c r="D72" s="280"/>
      <c r="E72" s="1333"/>
      <c r="F72" s="2647">
        <v>0</v>
      </c>
      <c r="G72" s="2647">
        <v>0</v>
      </c>
      <c r="H72" s="2647">
        <v>0</v>
      </c>
      <c r="I72" s="2647">
        <v>0</v>
      </c>
      <c r="J72" s="2647">
        <v>0</v>
      </c>
      <c r="K72" s="2647">
        <v>0</v>
      </c>
      <c r="L72" s="2648">
        <v>0</v>
      </c>
      <c r="M72" s="2612" t="s">
        <v>61</v>
      </c>
      <c r="N72" s="3404"/>
      <c r="P72" s="3399"/>
      <c r="Q72" s="3399"/>
      <c r="R72" s="3399"/>
    </row>
    <row r="73" spans="1:18" s="393" customFormat="1" ht="13.5" hidden="1" customHeight="1">
      <c r="A73" s="3403"/>
      <c r="B73" s="830" t="s">
        <v>22</v>
      </c>
      <c r="C73" s="2649"/>
      <c r="D73" s="831"/>
      <c r="E73" s="831">
        <v>0</v>
      </c>
      <c r="F73" s="2599">
        <f t="shared" ref="F73:L73" si="49">F75+F77</f>
        <v>0</v>
      </c>
      <c r="G73" s="2599">
        <f t="shared" si="49"/>
        <v>0</v>
      </c>
      <c r="H73" s="2599">
        <f t="shared" si="49"/>
        <v>0</v>
      </c>
      <c r="I73" s="2599">
        <f t="shared" si="49"/>
        <v>0</v>
      </c>
      <c r="J73" s="2599">
        <f t="shared" si="49"/>
        <v>0</v>
      </c>
      <c r="K73" s="2599">
        <f t="shared" si="49"/>
        <v>0</v>
      </c>
      <c r="L73" s="2600">
        <f t="shared" si="49"/>
        <v>0</v>
      </c>
      <c r="M73" s="3379" t="s">
        <v>61</v>
      </c>
      <c r="N73" s="3404"/>
      <c r="P73" s="3399"/>
      <c r="Q73" s="3399"/>
      <c r="R73" s="3399"/>
    </row>
    <row r="74" spans="1:18" s="393" customFormat="1" ht="13.5" hidden="1" customHeight="1">
      <c r="A74" s="3403"/>
      <c r="B74" s="2217" t="s">
        <v>24</v>
      </c>
      <c r="C74" s="3400" t="s">
        <v>85</v>
      </c>
      <c r="D74" s="833"/>
      <c r="E74" s="833">
        <v>0</v>
      </c>
      <c r="F74" s="2621">
        <f t="shared" ref="F74:L74" si="50">+F75+F77</f>
        <v>0</v>
      </c>
      <c r="G74" s="2621">
        <f t="shared" si="50"/>
        <v>0</v>
      </c>
      <c r="H74" s="2621">
        <f t="shared" si="50"/>
        <v>0</v>
      </c>
      <c r="I74" s="2621">
        <f t="shared" si="50"/>
        <v>0</v>
      </c>
      <c r="J74" s="2621">
        <f t="shared" si="50"/>
        <v>0</v>
      </c>
      <c r="K74" s="2621">
        <f t="shared" si="50"/>
        <v>0</v>
      </c>
      <c r="L74" s="2638">
        <f t="shared" si="50"/>
        <v>0</v>
      </c>
      <c r="M74" s="3379"/>
      <c r="N74" s="3404"/>
      <c r="P74" s="3399"/>
      <c r="Q74" s="3399"/>
      <c r="R74" s="3399"/>
    </row>
    <row r="75" spans="1:18" s="393" customFormat="1" ht="13.5" hidden="1" customHeight="1">
      <c r="A75" s="3403"/>
      <c r="B75" s="2639" t="s">
        <v>13</v>
      </c>
      <c r="C75" s="3406"/>
      <c r="D75" s="280"/>
      <c r="E75" s="1333"/>
      <c r="F75" s="2641">
        <v>0</v>
      </c>
      <c r="G75" s="2641">
        <v>0</v>
      </c>
      <c r="H75" s="2641">
        <v>0</v>
      </c>
      <c r="I75" s="2641">
        <v>0</v>
      </c>
      <c r="J75" s="2650">
        <v>0</v>
      </c>
      <c r="K75" s="2641">
        <v>0</v>
      </c>
      <c r="L75" s="2642">
        <v>0</v>
      </c>
      <c r="M75" s="3379"/>
      <c r="N75" s="3404"/>
    </row>
    <row r="76" spans="1:18" s="393" customFormat="1" ht="13.5" hidden="1" customHeight="1">
      <c r="A76" s="2735"/>
      <c r="B76" s="843" t="s">
        <v>18</v>
      </c>
      <c r="C76" s="2651"/>
      <c r="D76" s="2652"/>
      <c r="E76" s="2652">
        <v>0</v>
      </c>
      <c r="F76" s="2653">
        <f t="shared" ref="F76:L76" si="51">+F77</f>
        <v>0</v>
      </c>
      <c r="G76" s="2653">
        <f t="shared" si="51"/>
        <v>0</v>
      </c>
      <c r="H76" s="2653">
        <f t="shared" si="51"/>
        <v>0</v>
      </c>
      <c r="I76" s="2653">
        <f t="shared" si="51"/>
        <v>0</v>
      </c>
      <c r="J76" s="2653">
        <f t="shared" si="51"/>
        <v>0</v>
      </c>
      <c r="K76" s="2653">
        <f t="shared" si="51"/>
        <v>0</v>
      </c>
      <c r="L76" s="2654">
        <f t="shared" si="51"/>
        <v>0</v>
      </c>
      <c r="M76" s="3379"/>
      <c r="N76" s="3404"/>
    </row>
    <row r="77" spans="1:18" s="393" customFormat="1" ht="13.5" hidden="1" customHeight="1" thickBot="1">
      <c r="A77" s="2655"/>
      <c r="B77" s="2639" t="s">
        <v>35</v>
      </c>
      <c r="C77" s="2734" t="s">
        <v>23</v>
      </c>
      <c r="D77" s="280"/>
      <c r="E77" s="1333"/>
      <c r="F77" s="789">
        <v>0</v>
      </c>
      <c r="G77" s="789">
        <v>0</v>
      </c>
      <c r="H77" s="789">
        <v>0</v>
      </c>
      <c r="I77" s="789">
        <v>0</v>
      </c>
      <c r="J77" s="789">
        <v>0</v>
      </c>
      <c r="K77" s="789">
        <v>0</v>
      </c>
      <c r="L77" s="845">
        <v>0</v>
      </c>
      <c r="M77" s="3380"/>
      <c r="N77" s="3405"/>
    </row>
    <row r="78" spans="1:18" s="393" customFormat="1" ht="12" hidden="1">
      <c r="A78" s="3393"/>
      <c r="B78" s="2283"/>
      <c r="C78" s="829" t="s">
        <v>111</v>
      </c>
      <c r="D78" s="2656"/>
      <c r="E78" s="2657"/>
      <c r="F78" s="2657"/>
      <c r="G78" s="2657"/>
      <c r="H78" s="2657"/>
      <c r="I78" s="2657"/>
      <c r="J78" s="2657"/>
      <c r="K78" s="2657"/>
      <c r="L78" s="2656"/>
      <c r="M78" s="2658"/>
      <c r="N78" s="3389" t="s">
        <v>363</v>
      </c>
    </row>
    <row r="79" spans="1:18" s="393" customFormat="1" ht="15.75" hidden="1" customHeight="1">
      <c r="A79" s="3394"/>
      <c r="B79" s="626" t="s">
        <v>10</v>
      </c>
      <c r="C79" s="2659"/>
      <c r="D79" s="863"/>
      <c r="E79" s="1010">
        <v>0</v>
      </c>
      <c r="F79" s="863">
        <f t="shared" ref="F79:L79" si="52">+F80</f>
        <v>0</v>
      </c>
      <c r="G79" s="863">
        <f t="shared" si="52"/>
        <v>0</v>
      </c>
      <c r="H79" s="2204">
        <f t="shared" si="52"/>
        <v>0</v>
      </c>
      <c r="I79" s="2204">
        <f t="shared" si="52"/>
        <v>0</v>
      </c>
      <c r="J79" s="2204">
        <f t="shared" si="52"/>
        <v>0</v>
      </c>
      <c r="K79" s="2204">
        <f t="shared" si="52"/>
        <v>0</v>
      </c>
      <c r="L79" s="2660">
        <f t="shared" si="52"/>
        <v>0</v>
      </c>
      <c r="M79" s="2661">
        <f>+M80</f>
        <v>0</v>
      </c>
      <c r="N79" s="3390"/>
    </row>
    <row r="80" spans="1:18" s="393" customFormat="1" ht="13.5" hidden="1" customHeight="1">
      <c r="A80" s="3394"/>
      <c r="B80" s="2602" t="s">
        <v>24</v>
      </c>
      <c r="C80" s="3363" t="s">
        <v>132</v>
      </c>
      <c r="D80" s="2662"/>
      <c r="E80" s="2663">
        <v>0</v>
      </c>
      <c r="F80" s="2662">
        <f t="shared" ref="F80:I80" si="53">+F81+F82</f>
        <v>0</v>
      </c>
      <c r="G80" s="2662">
        <f t="shared" si="53"/>
        <v>0</v>
      </c>
      <c r="H80" s="2663">
        <f t="shared" si="53"/>
        <v>0</v>
      </c>
      <c r="I80" s="2663">
        <f t="shared" si="53"/>
        <v>0</v>
      </c>
      <c r="J80" s="2663">
        <f>+J81+J82</f>
        <v>0</v>
      </c>
      <c r="K80" s="2663">
        <f>+K81+K82</f>
        <v>0</v>
      </c>
      <c r="L80" s="2664">
        <f>+L81+L82</f>
        <v>0</v>
      </c>
      <c r="M80" s="2665">
        <f>+M81+M82</f>
        <v>0</v>
      </c>
      <c r="N80" s="3390"/>
    </row>
    <row r="81" spans="1:17" s="393" customFormat="1" ht="13.5" hidden="1" customHeight="1">
      <c r="A81" s="3394"/>
      <c r="B81" s="2607" t="s">
        <v>130</v>
      </c>
      <c r="C81" s="3364"/>
      <c r="D81" s="990"/>
      <c r="E81" s="1014">
        <v>0</v>
      </c>
      <c r="F81" s="2666"/>
      <c r="G81" s="1923"/>
      <c r="H81" s="2667"/>
      <c r="I81" s="2667">
        <v>0</v>
      </c>
      <c r="J81" s="2667">
        <v>0</v>
      </c>
      <c r="K81" s="2667">
        <v>0</v>
      </c>
      <c r="L81" s="2668">
        <v>0</v>
      </c>
      <c r="M81" s="2669">
        <v>0</v>
      </c>
      <c r="N81" s="3390"/>
    </row>
    <row r="82" spans="1:17" s="393" customFormat="1" ht="13.5" hidden="1" customHeight="1" thickBot="1">
      <c r="A82" s="3395"/>
      <c r="B82" s="2670" t="s">
        <v>133</v>
      </c>
      <c r="C82" s="3364"/>
      <c r="D82" s="1258"/>
      <c r="E82" s="2671">
        <v>0</v>
      </c>
      <c r="F82" s="1004"/>
      <c r="G82" s="1825"/>
      <c r="H82" s="1806"/>
      <c r="I82" s="1806">
        <v>0</v>
      </c>
      <c r="J82" s="1806">
        <v>0</v>
      </c>
      <c r="K82" s="1806">
        <v>0</v>
      </c>
      <c r="L82" s="1807">
        <v>0</v>
      </c>
      <c r="M82" s="2672">
        <f>SUM(F82:L82)</f>
        <v>0</v>
      </c>
      <c r="N82" s="3433"/>
    </row>
    <row r="83" spans="1:17" s="393" customFormat="1" ht="12" hidden="1">
      <c r="A83" s="3393"/>
      <c r="B83" s="2673"/>
      <c r="C83" s="829" t="s">
        <v>111</v>
      </c>
      <c r="D83" s="2592"/>
      <c r="E83" s="2729"/>
      <c r="F83" s="2729"/>
      <c r="G83" s="2729"/>
      <c r="H83" s="2729"/>
      <c r="I83" s="2729"/>
      <c r="J83" s="2729"/>
      <c r="K83" s="2593"/>
      <c r="L83" s="2592"/>
      <c r="M83" s="2594"/>
      <c r="N83" s="3389" t="s">
        <v>364</v>
      </c>
    </row>
    <row r="84" spans="1:17" s="393" customFormat="1" ht="13.5" hidden="1" customHeight="1">
      <c r="A84" s="3394"/>
      <c r="B84" s="626" t="s">
        <v>10</v>
      </c>
      <c r="C84" s="2583"/>
      <c r="D84" s="831"/>
      <c r="E84" s="831">
        <v>0</v>
      </c>
      <c r="F84" s="831">
        <f t="shared" ref="F84:M84" si="54">+F85</f>
        <v>0</v>
      </c>
      <c r="G84" s="2599">
        <v>0</v>
      </c>
      <c r="H84" s="2599">
        <v>0</v>
      </c>
      <c r="I84" s="2599">
        <v>0</v>
      </c>
      <c r="J84" s="2599">
        <v>0</v>
      </c>
      <c r="K84" s="2600">
        <v>0</v>
      </c>
      <c r="L84" s="2600">
        <v>0</v>
      </c>
      <c r="M84" s="2601">
        <f t="shared" si="54"/>
        <v>0</v>
      </c>
      <c r="N84" s="3390"/>
      <c r="P84" s="398"/>
    </row>
    <row r="85" spans="1:17" s="393" customFormat="1" ht="13.5" hidden="1" customHeight="1">
      <c r="A85" s="3394"/>
      <c r="B85" s="2602" t="s">
        <v>24</v>
      </c>
      <c r="C85" s="3363" t="s">
        <v>132</v>
      </c>
      <c r="D85" s="833"/>
      <c r="E85" s="833">
        <v>0</v>
      </c>
      <c r="F85" s="833">
        <f>+F87</f>
        <v>0</v>
      </c>
      <c r="G85" s="2621">
        <v>0</v>
      </c>
      <c r="H85" s="2621">
        <v>0</v>
      </c>
      <c r="I85" s="2621">
        <v>0</v>
      </c>
      <c r="J85" s="2621">
        <v>0</v>
      </c>
      <c r="K85" s="2621">
        <v>0</v>
      </c>
      <c r="L85" s="2638">
        <v>0</v>
      </c>
      <c r="M85" s="2674">
        <f>+M87</f>
        <v>0</v>
      </c>
      <c r="N85" s="3390"/>
    </row>
    <row r="86" spans="1:17" s="393" customFormat="1" ht="13.5" hidden="1" customHeight="1">
      <c r="A86" s="3394"/>
      <c r="B86" s="2607" t="s">
        <v>130</v>
      </c>
      <c r="C86" s="3364"/>
      <c r="D86" s="1345"/>
      <c r="E86" s="1351"/>
      <c r="F86" s="2640"/>
      <c r="G86" s="2641">
        <v>0</v>
      </c>
      <c r="H86" s="2641">
        <v>0</v>
      </c>
      <c r="I86" s="2641">
        <v>0</v>
      </c>
      <c r="J86" s="2641">
        <v>0</v>
      </c>
      <c r="K86" s="2641">
        <v>0</v>
      </c>
      <c r="L86" s="2642">
        <v>0</v>
      </c>
      <c r="M86" s="2675">
        <v>0</v>
      </c>
      <c r="N86" s="3390"/>
    </row>
    <row r="87" spans="1:17" s="393" customFormat="1" ht="13.5" hidden="1" customHeight="1" thickBot="1">
      <c r="A87" s="3395"/>
      <c r="B87" s="2670" t="s">
        <v>133</v>
      </c>
      <c r="C87" s="3365"/>
      <c r="D87" s="1337"/>
      <c r="E87" s="1921">
        <v>0</v>
      </c>
      <c r="F87" s="700"/>
      <c r="G87" s="789">
        <v>0</v>
      </c>
      <c r="H87" s="789">
        <v>0</v>
      </c>
      <c r="I87" s="789">
        <v>0</v>
      </c>
      <c r="J87" s="789">
        <v>0</v>
      </c>
      <c r="K87" s="789">
        <v>0</v>
      </c>
      <c r="L87" s="845">
        <v>0</v>
      </c>
      <c r="M87" s="2677">
        <f>SUM(F87:L87)</f>
        <v>0</v>
      </c>
      <c r="N87" s="3392"/>
      <c r="Q87" s="398"/>
    </row>
    <row r="88" spans="1:17" s="393" customFormat="1" ht="29.25" customHeight="1">
      <c r="A88" s="3393" t="s">
        <v>64</v>
      </c>
      <c r="B88" s="2283" t="s">
        <v>549</v>
      </c>
      <c r="C88" s="829" t="s">
        <v>111</v>
      </c>
      <c r="D88" s="2592"/>
      <c r="E88" s="2729"/>
      <c r="F88" s="2729"/>
      <c r="G88" s="2729"/>
      <c r="H88" s="2729"/>
      <c r="I88" s="2729"/>
      <c r="J88" s="2729"/>
      <c r="K88" s="2729"/>
      <c r="L88" s="2592"/>
      <c r="M88" s="2594"/>
      <c r="N88" s="3396" t="s">
        <v>550</v>
      </c>
    </row>
    <row r="89" spans="1:17" s="393" customFormat="1" ht="13.5" customHeight="1">
      <c r="A89" s="3394"/>
      <c r="B89" s="626" t="s">
        <v>10</v>
      </c>
      <c r="C89" s="2583"/>
      <c r="D89" s="831">
        <f>+D90</f>
        <v>8000000</v>
      </c>
      <c r="E89" s="831">
        <f t="shared" ref="E89:M89" si="55">+E90</f>
        <v>1660000</v>
      </c>
      <c r="F89" s="831">
        <f t="shared" si="55"/>
        <v>1080000</v>
      </c>
      <c r="G89" s="831">
        <f t="shared" si="55"/>
        <v>1080000</v>
      </c>
      <c r="H89" s="831">
        <f t="shared" si="55"/>
        <v>1080000</v>
      </c>
      <c r="I89" s="831">
        <f t="shared" si="55"/>
        <v>1080000</v>
      </c>
      <c r="J89" s="831">
        <f t="shared" si="55"/>
        <v>1080000</v>
      </c>
      <c r="K89" s="831">
        <f t="shared" si="55"/>
        <v>940000</v>
      </c>
      <c r="L89" s="2678">
        <f t="shared" si="55"/>
        <v>0</v>
      </c>
      <c r="M89" s="2601">
        <f t="shared" si="55"/>
        <v>6340000</v>
      </c>
      <c r="N89" s="3397"/>
    </row>
    <row r="90" spans="1:17" s="381" customFormat="1" ht="16.5" customHeight="1">
      <c r="A90" s="3394"/>
      <c r="B90" s="832" t="s">
        <v>24</v>
      </c>
      <c r="C90" s="3363" t="s">
        <v>132</v>
      </c>
      <c r="D90" s="2679">
        <f>+D91+D92</f>
        <v>8000000</v>
      </c>
      <c r="E90" s="2679">
        <f t="shared" ref="E90" si="56">+E91+E92</f>
        <v>1660000</v>
      </c>
      <c r="F90" s="2679">
        <f t="shared" ref="F90:L90" si="57">+F91+F92</f>
        <v>1080000</v>
      </c>
      <c r="G90" s="2679">
        <f t="shared" si="57"/>
        <v>1080000</v>
      </c>
      <c r="H90" s="2679">
        <f t="shared" si="57"/>
        <v>1080000</v>
      </c>
      <c r="I90" s="2679">
        <f t="shared" si="57"/>
        <v>1080000</v>
      </c>
      <c r="J90" s="2679">
        <f t="shared" si="57"/>
        <v>1080000</v>
      </c>
      <c r="K90" s="2679">
        <f t="shared" si="57"/>
        <v>940000</v>
      </c>
      <c r="L90" s="2680">
        <f t="shared" si="57"/>
        <v>0</v>
      </c>
      <c r="M90" s="2674">
        <f>+M92</f>
        <v>6340000</v>
      </c>
      <c r="N90" s="3397"/>
    </row>
    <row r="91" spans="1:17" s="381" customFormat="1" ht="13.5" customHeight="1">
      <c r="A91" s="3394"/>
      <c r="B91" s="2607" t="s">
        <v>130</v>
      </c>
      <c r="C91" s="3364"/>
      <c r="D91" s="280">
        <f>E91+F91+G91+H91+I91+J91+K91+L91</f>
        <v>1660000</v>
      </c>
      <c r="E91" s="2623">
        <v>1660000</v>
      </c>
      <c r="F91" s="2610">
        <v>0</v>
      </c>
      <c r="G91" s="2437">
        <v>0</v>
      </c>
      <c r="H91" s="2437">
        <v>0</v>
      </c>
      <c r="I91" s="2437">
        <v>0</v>
      </c>
      <c r="J91" s="2437">
        <v>0</v>
      </c>
      <c r="K91" s="2437">
        <v>0</v>
      </c>
      <c r="L91" s="2682">
        <v>0</v>
      </c>
      <c r="M91" s="2675">
        <v>0</v>
      </c>
      <c r="N91" s="3397"/>
    </row>
    <row r="92" spans="1:17" s="381" customFormat="1" ht="13.5" customHeight="1" thickBot="1">
      <c r="A92" s="3395"/>
      <c r="B92" s="2683" t="s">
        <v>133</v>
      </c>
      <c r="C92" s="3365"/>
      <c r="D92" s="280">
        <f>E92+F92+G92+H92+I92+J92+K92+L92</f>
        <v>6340000</v>
      </c>
      <c r="E92" s="2623">
        <v>0</v>
      </c>
      <c r="F92" s="700">
        <v>1080000</v>
      </c>
      <c r="G92" s="2437">
        <v>1080000</v>
      </c>
      <c r="H92" s="2437">
        <v>1080000</v>
      </c>
      <c r="I92" s="2437">
        <v>1080000</v>
      </c>
      <c r="J92" s="2437">
        <v>1080000</v>
      </c>
      <c r="K92" s="2437">
        <v>940000</v>
      </c>
      <c r="L92" s="2684">
        <v>0</v>
      </c>
      <c r="M92" s="2677">
        <f>SUM(F92:L92)</f>
        <v>6340000</v>
      </c>
      <c r="N92" s="3398"/>
    </row>
    <row r="93" spans="1:17" s="2566" customFormat="1" ht="38.25" hidden="1" customHeight="1">
      <c r="A93" s="3367" t="s">
        <v>88</v>
      </c>
      <c r="B93" s="2283"/>
      <c r="C93" s="829" t="s">
        <v>81</v>
      </c>
      <c r="D93" s="2562"/>
      <c r="E93" s="2563"/>
      <c r="F93" s="2563"/>
      <c r="G93" s="2563"/>
      <c r="H93" s="2563"/>
      <c r="I93" s="2563"/>
      <c r="J93" s="2563"/>
      <c r="K93" s="2563"/>
      <c r="L93" s="2562"/>
      <c r="M93" s="2565"/>
      <c r="N93" s="3370" t="s">
        <v>365</v>
      </c>
    </row>
    <row r="94" spans="1:17" s="393" customFormat="1" ht="13.5" hidden="1" customHeight="1">
      <c r="A94" s="3368"/>
      <c r="B94" s="830" t="s">
        <v>10</v>
      </c>
      <c r="C94" s="2567"/>
      <c r="D94" s="831"/>
      <c r="E94" s="831">
        <v>0</v>
      </c>
      <c r="F94" s="2599">
        <f t="shared" ref="F94:L94" si="58">+F95+F98</f>
        <v>0</v>
      </c>
      <c r="G94" s="2599">
        <f t="shared" si="58"/>
        <v>0</v>
      </c>
      <c r="H94" s="2599">
        <f t="shared" si="58"/>
        <v>0</v>
      </c>
      <c r="I94" s="2599">
        <f t="shared" si="58"/>
        <v>0</v>
      </c>
      <c r="J94" s="2599">
        <f t="shared" si="58"/>
        <v>0</v>
      </c>
      <c r="K94" s="2599">
        <f t="shared" si="58"/>
        <v>0</v>
      </c>
      <c r="L94" s="2600">
        <f t="shared" si="58"/>
        <v>0</v>
      </c>
      <c r="M94" s="2601">
        <f>+M95</f>
        <v>0</v>
      </c>
      <c r="N94" s="3371"/>
    </row>
    <row r="95" spans="1:17" s="393" customFormat="1" ht="12.75" hidden="1" customHeight="1">
      <c r="A95" s="3368"/>
      <c r="B95" s="832" t="s">
        <v>24</v>
      </c>
      <c r="C95" s="3374" t="s">
        <v>129</v>
      </c>
      <c r="D95" s="833"/>
      <c r="E95" s="833">
        <v>0</v>
      </c>
      <c r="F95" s="2621">
        <f t="shared" ref="F95:I95" si="59">+F96+F97</f>
        <v>0</v>
      </c>
      <c r="G95" s="2621">
        <f t="shared" si="59"/>
        <v>0</v>
      </c>
      <c r="H95" s="2621">
        <f t="shared" si="59"/>
        <v>0</v>
      </c>
      <c r="I95" s="2621">
        <f t="shared" si="59"/>
        <v>0</v>
      </c>
      <c r="J95" s="2621">
        <f>+J96+J97</f>
        <v>0</v>
      </c>
      <c r="K95" s="2621">
        <f>+K96+K97</f>
        <v>0</v>
      </c>
      <c r="L95" s="2638">
        <f>+L96+L97</f>
        <v>0</v>
      </c>
      <c r="M95" s="2685">
        <f>+M97</f>
        <v>0</v>
      </c>
      <c r="N95" s="3372"/>
    </row>
    <row r="96" spans="1:17" s="393" customFormat="1" ht="12" hidden="1">
      <c r="A96" s="3368"/>
      <c r="B96" s="257" t="s">
        <v>130</v>
      </c>
      <c r="C96" s="3375"/>
      <c r="D96" s="280"/>
      <c r="E96" s="1333">
        <v>0</v>
      </c>
      <c r="F96" s="849">
        <v>0</v>
      </c>
      <c r="G96" s="849">
        <v>0</v>
      </c>
      <c r="H96" s="849">
        <v>0</v>
      </c>
      <c r="I96" s="849">
        <v>0</v>
      </c>
      <c r="J96" s="849">
        <v>0</v>
      </c>
      <c r="K96" s="849">
        <v>0</v>
      </c>
      <c r="L96" s="2271">
        <v>0</v>
      </c>
      <c r="M96" s="2532" t="s">
        <v>61</v>
      </c>
      <c r="N96" s="3372"/>
      <c r="Q96" s="398"/>
    </row>
    <row r="97" spans="1:17" s="393" customFormat="1" ht="13.5" hidden="1" customHeight="1">
      <c r="A97" s="3368"/>
      <c r="B97" s="836" t="s">
        <v>126</v>
      </c>
      <c r="C97" s="3376"/>
      <c r="D97" s="280"/>
      <c r="E97" s="1333">
        <v>0</v>
      </c>
      <c r="F97" s="849">
        <v>0</v>
      </c>
      <c r="G97" s="849">
        <v>0</v>
      </c>
      <c r="H97" s="849">
        <v>0</v>
      </c>
      <c r="I97" s="849">
        <v>0</v>
      </c>
      <c r="J97" s="849">
        <v>0</v>
      </c>
      <c r="K97" s="849">
        <v>0</v>
      </c>
      <c r="L97" s="2271">
        <v>0</v>
      </c>
      <c r="M97" s="2609">
        <f>SUM(F97:L97)</f>
        <v>0</v>
      </c>
      <c r="N97" s="3372"/>
    </row>
    <row r="98" spans="1:17" s="393" customFormat="1" ht="13.5" hidden="1" customHeight="1">
      <c r="A98" s="3368"/>
      <c r="B98" s="837" t="s">
        <v>18</v>
      </c>
      <c r="C98" s="3109" t="s">
        <v>23</v>
      </c>
      <c r="D98" s="838"/>
      <c r="E98" s="838">
        <v>0</v>
      </c>
      <c r="F98" s="2611">
        <f t="shared" ref="F98:M98" si="60">+F99</f>
        <v>0</v>
      </c>
      <c r="G98" s="2611">
        <f t="shared" si="60"/>
        <v>0</v>
      </c>
      <c r="H98" s="2611">
        <f t="shared" si="60"/>
        <v>0</v>
      </c>
      <c r="I98" s="2611">
        <f t="shared" si="60"/>
        <v>0</v>
      </c>
      <c r="J98" s="2611">
        <f t="shared" si="60"/>
        <v>0</v>
      </c>
      <c r="K98" s="2611">
        <f t="shared" si="60"/>
        <v>0</v>
      </c>
      <c r="L98" s="850">
        <f t="shared" si="60"/>
        <v>0</v>
      </c>
      <c r="M98" s="2612" t="str">
        <f t="shared" si="60"/>
        <v>x</v>
      </c>
      <c r="N98" s="3372"/>
    </row>
    <row r="99" spans="1:17" s="393" customFormat="1" ht="11.25" hidden="1" customHeight="1">
      <c r="A99" s="3368"/>
      <c r="B99" s="2582" t="s">
        <v>35</v>
      </c>
      <c r="C99" s="3377"/>
      <c r="D99" s="280"/>
      <c r="E99" s="1333">
        <v>0</v>
      </c>
      <c r="F99" s="2625">
        <v>0</v>
      </c>
      <c r="G99" s="2625">
        <v>0</v>
      </c>
      <c r="H99" s="2625">
        <v>0</v>
      </c>
      <c r="I99" s="2625">
        <v>0</v>
      </c>
      <c r="J99" s="2625">
        <v>0</v>
      </c>
      <c r="K99" s="2625">
        <v>0</v>
      </c>
      <c r="L99" s="2626">
        <v>0</v>
      </c>
      <c r="M99" s="2686" t="s">
        <v>61</v>
      </c>
      <c r="N99" s="3372"/>
    </row>
    <row r="100" spans="1:17" s="393" customFormat="1" ht="13.5" hidden="1" customHeight="1">
      <c r="A100" s="3368"/>
      <c r="B100" s="626" t="s">
        <v>22</v>
      </c>
      <c r="C100" s="2631"/>
      <c r="D100" s="831"/>
      <c r="E100" s="831">
        <v>0</v>
      </c>
      <c r="F100" s="2599">
        <f t="shared" ref="F100:L101" si="61">+F101</f>
        <v>0</v>
      </c>
      <c r="G100" s="2599">
        <f t="shared" si="61"/>
        <v>0</v>
      </c>
      <c r="H100" s="2599">
        <f t="shared" si="61"/>
        <v>0</v>
      </c>
      <c r="I100" s="2599">
        <f t="shared" si="61"/>
        <v>0</v>
      </c>
      <c r="J100" s="2599">
        <f t="shared" si="61"/>
        <v>0</v>
      </c>
      <c r="K100" s="2599">
        <f t="shared" si="61"/>
        <v>0</v>
      </c>
      <c r="L100" s="2600">
        <f t="shared" si="61"/>
        <v>0</v>
      </c>
      <c r="M100" s="3378" t="s">
        <v>61</v>
      </c>
      <c r="N100" s="3372"/>
    </row>
    <row r="101" spans="1:17" s="393" customFormat="1" ht="13.5" hidden="1" customHeight="1">
      <c r="A101" s="3368"/>
      <c r="B101" s="837" t="s">
        <v>18</v>
      </c>
      <c r="C101" s="3109" t="s">
        <v>23</v>
      </c>
      <c r="D101" s="2585"/>
      <c r="E101" s="2585">
        <v>0</v>
      </c>
      <c r="F101" s="2615">
        <f t="shared" si="61"/>
        <v>0</v>
      </c>
      <c r="G101" s="2615">
        <f t="shared" si="61"/>
        <v>0</v>
      </c>
      <c r="H101" s="2615">
        <f t="shared" si="61"/>
        <v>0</v>
      </c>
      <c r="I101" s="2615">
        <f t="shared" si="61"/>
        <v>0</v>
      </c>
      <c r="J101" s="2687">
        <f t="shared" si="61"/>
        <v>0</v>
      </c>
      <c r="K101" s="2687">
        <f t="shared" si="61"/>
        <v>0</v>
      </c>
      <c r="L101" s="2688">
        <f t="shared" si="61"/>
        <v>0</v>
      </c>
      <c r="M101" s="3379"/>
      <c r="N101" s="3372"/>
    </row>
    <row r="102" spans="1:17" s="393" customFormat="1" ht="14.25" hidden="1" customHeight="1" thickBot="1">
      <c r="A102" s="3369"/>
      <c r="B102" s="2689" t="s">
        <v>35</v>
      </c>
      <c r="C102" s="3381"/>
      <c r="D102" s="280"/>
      <c r="E102" s="1333">
        <v>0</v>
      </c>
      <c r="F102" s="2618">
        <v>0</v>
      </c>
      <c r="G102" s="2618">
        <v>0</v>
      </c>
      <c r="H102" s="2618">
        <v>0</v>
      </c>
      <c r="I102" s="2618">
        <v>0</v>
      </c>
      <c r="J102" s="2618">
        <v>0</v>
      </c>
      <c r="K102" s="2618">
        <v>0</v>
      </c>
      <c r="L102" s="2690">
        <v>0</v>
      </c>
      <c r="M102" s="3380"/>
      <c r="N102" s="3373"/>
    </row>
    <row r="103" spans="1:17" s="2737" customFormat="1" ht="51.75" hidden="1" customHeight="1">
      <c r="A103" s="3367" t="s">
        <v>89</v>
      </c>
      <c r="B103" s="2283"/>
      <c r="C103" s="829" t="s">
        <v>81</v>
      </c>
      <c r="D103" s="2562"/>
      <c r="E103" s="2563"/>
      <c r="F103" s="2563"/>
      <c r="G103" s="2563"/>
      <c r="H103" s="2563"/>
      <c r="I103" s="2563"/>
      <c r="J103" s="2563"/>
      <c r="K103" s="2563"/>
      <c r="L103" s="2562"/>
      <c r="M103" s="2565"/>
      <c r="N103" s="3384" t="s">
        <v>366</v>
      </c>
      <c r="O103" s="3366"/>
      <c r="P103" s="3366"/>
      <c r="Q103" s="3366"/>
    </row>
    <row r="104" spans="1:17" s="2737" customFormat="1" ht="15" hidden="1" customHeight="1">
      <c r="A104" s="3382"/>
      <c r="B104" s="626" t="s">
        <v>10</v>
      </c>
      <c r="C104" s="2567"/>
      <c r="D104" s="831"/>
      <c r="E104" s="831">
        <v>0</v>
      </c>
      <c r="F104" s="2599">
        <f t="shared" ref="F104:L104" si="62">+F105+F109</f>
        <v>0</v>
      </c>
      <c r="G104" s="2599">
        <f t="shared" si="62"/>
        <v>0</v>
      </c>
      <c r="H104" s="2599">
        <f t="shared" si="62"/>
        <v>0</v>
      </c>
      <c r="I104" s="2599">
        <f t="shared" si="62"/>
        <v>0</v>
      </c>
      <c r="J104" s="2599">
        <f t="shared" si="62"/>
        <v>0</v>
      </c>
      <c r="K104" s="2599">
        <f t="shared" si="62"/>
        <v>0</v>
      </c>
      <c r="L104" s="2600">
        <f t="shared" si="62"/>
        <v>0</v>
      </c>
      <c r="M104" s="2601">
        <f>+M105</f>
        <v>0</v>
      </c>
      <c r="N104" s="3385"/>
    </row>
    <row r="105" spans="1:17" s="2737" customFormat="1" ht="15" hidden="1" customHeight="1">
      <c r="A105" s="3382"/>
      <c r="B105" s="832" t="s">
        <v>24</v>
      </c>
      <c r="C105" s="3374" t="s">
        <v>129</v>
      </c>
      <c r="D105" s="833"/>
      <c r="E105" s="833">
        <v>0</v>
      </c>
      <c r="F105" s="2621">
        <f t="shared" ref="F105:I105" si="63">+F106+F107</f>
        <v>0</v>
      </c>
      <c r="G105" s="2621">
        <f t="shared" si="63"/>
        <v>0</v>
      </c>
      <c r="H105" s="2621">
        <f t="shared" si="63"/>
        <v>0</v>
      </c>
      <c r="I105" s="2621">
        <f t="shared" si="63"/>
        <v>0</v>
      </c>
      <c r="J105" s="2621">
        <f>+J106+J107</f>
        <v>0</v>
      </c>
      <c r="K105" s="2621">
        <f>+K106+K107</f>
        <v>0</v>
      </c>
      <c r="L105" s="2638">
        <f>+L106+L107</f>
        <v>0</v>
      </c>
      <c r="M105" s="2685">
        <f>+M107+M108</f>
        <v>0</v>
      </c>
      <c r="N105" s="3386"/>
    </row>
    <row r="106" spans="1:17" s="2737" customFormat="1" hidden="1">
      <c r="A106" s="3382"/>
      <c r="B106" s="257" t="s">
        <v>130</v>
      </c>
      <c r="C106" s="3375"/>
      <c r="D106" s="280"/>
      <c r="E106" s="1333">
        <v>0</v>
      </c>
      <c r="F106" s="849">
        <v>0</v>
      </c>
      <c r="G106" s="849">
        <v>0</v>
      </c>
      <c r="H106" s="849">
        <v>0</v>
      </c>
      <c r="I106" s="849">
        <v>0</v>
      </c>
      <c r="J106" s="849">
        <v>0</v>
      </c>
      <c r="K106" s="849">
        <v>0</v>
      </c>
      <c r="L106" s="2271">
        <v>0</v>
      </c>
      <c r="M106" s="2532" t="s">
        <v>61</v>
      </c>
      <c r="N106" s="3386"/>
    </row>
    <row r="107" spans="1:17" s="2737" customFormat="1" ht="13.5" hidden="1" customHeight="1">
      <c r="A107" s="3382"/>
      <c r="B107" s="836" t="s">
        <v>126</v>
      </c>
      <c r="C107" s="3376"/>
      <c r="D107" s="280"/>
      <c r="E107" s="1333">
        <v>0</v>
      </c>
      <c r="F107" s="849">
        <v>0</v>
      </c>
      <c r="G107" s="849">
        <v>0</v>
      </c>
      <c r="H107" s="849">
        <v>0</v>
      </c>
      <c r="I107" s="849">
        <v>0</v>
      </c>
      <c r="J107" s="849">
        <v>0</v>
      </c>
      <c r="K107" s="849">
        <v>0</v>
      </c>
      <c r="L107" s="849">
        <v>0</v>
      </c>
      <c r="M107" s="2609">
        <f>SUM(F107:L107)</f>
        <v>0</v>
      </c>
      <c r="N107" s="3386"/>
    </row>
    <row r="108" spans="1:17" s="2737" customFormat="1" ht="13.5" hidden="1" customHeight="1">
      <c r="A108" s="3382"/>
      <c r="B108" s="257" t="s">
        <v>13</v>
      </c>
      <c r="C108" s="2736"/>
      <c r="D108" s="280"/>
      <c r="E108" s="1333">
        <v>0</v>
      </c>
      <c r="F108" s="849">
        <v>0</v>
      </c>
      <c r="G108" s="849">
        <v>0</v>
      </c>
      <c r="H108" s="849">
        <v>0</v>
      </c>
      <c r="I108" s="849">
        <v>0</v>
      </c>
      <c r="J108" s="849">
        <v>0</v>
      </c>
      <c r="K108" s="849">
        <v>0</v>
      </c>
      <c r="L108" s="849">
        <v>0</v>
      </c>
      <c r="M108" s="2609">
        <f>SUM(F108:L108)</f>
        <v>0</v>
      </c>
      <c r="N108" s="3386"/>
    </row>
    <row r="109" spans="1:17" s="2737" customFormat="1" ht="13.5" hidden="1" customHeight="1">
      <c r="A109" s="3382"/>
      <c r="B109" s="837" t="s">
        <v>18</v>
      </c>
      <c r="C109" s="3109" t="s">
        <v>23</v>
      </c>
      <c r="D109" s="838"/>
      <c r="E109" s="838">
        <v>0</v>
      </c>
      <c r="F109" s="2611">
        <f t="shared" ref="F109:M109" si="64">+F110</f>
        <v>0</v>
      </c>
      <c r="G109" s="2611">
        <f t="shared" si="64"/>
        <v>0</v>
      </c>
      <c r="H109" s="2611">
        <f t="shared" si="64"/>
        <v>0</v>
      </c>
      <c r="I109" s="2611">
        <f t="shared" si="64"/>
        <v>0</v>
      </c>
      <c r="J109" s="2611">
        <f t="shared" si="64"/>
        <v>0</v>
      </c>
      <c r="K109" s="2611">
        <f t="shared" si="64"/>
        <v>0</v>
      </c>
      <c r="L109" s="2611">
        <f t="shared" si="64"/>
        <v>0</v>
      </c>
      <c r="M109" s="2612" t="str">
        <f t="shared" si="64"/>
        <v>x</v>
      </c>
      <c r="N109" s="3386"/>
    </row>
    <row r="110" spans="1:17" s="2737" customFormat="1" ht="11.25" hidden="1" customHeight="1">
      <c r="A110" s="3382"/>
      <c r="B110" s="2582" t="s">
        <v>35</v>
      </c>
      <c r="C110" s="3377"/>
      <c r="D110" s="280"/>
      <c r="E110" s="1333">
        <v>0</v>
      </c>
      <c r="F110" s="2625">
        <v>0</v>
      </c>
      <c r="G110" s="2625">
        <v>0</v>
      </c>
      <c r="H110" s="2625">
        <v>0</v>
      </c>
      <c r="I110" s="2625">
        <v>0</v>
      </c>
      <c r="J110" s="2625">
        <v>0</v>
      </c>
      <c r="K110" s="2625">
        <v>0</v>
      </c>
      <c r="L110" s="2625">
        <v>0</v>
      </c>
      <c r="M110" s="2686" t="s">
        <v>61</v>
      </c>
      <c r="N110" s="3386"/>
    </row>
    <row r="111" spans="1:17" s="2737" customFormat="1" ht="13.5" hidden="1" customHeight="1">
      <c r="A111" s="3382"/>
      <c r="B111" s="626" t="s">
        <v>22</v>
      </c>
      <c r="C111" s="2583"/>
      <c r="D111" s="831"/>
      <c r="E111" s="831">
        <v>0</v>
      </c>
      <c r="F111" s="2599">
        <f t="shared" ref="F111:L111" si="65">+F114</f>
        <v>0</v>
      </c>
      <c r="G111" s="2599">
        <f t="shared" si="65"/>
        <v>0</v>
      </c>
      <c r="H111" s="2599">
        <f t="shared" si="65"/>
        <v>0</v>
      </c>
      <c r="I111" s="2599">
        <f t="shared" si="65"/>
        <v>0</v>
      </c>
      <c r="J111" s="2599">
        <f t="shared" si="65"/>
        <v>0</v>
      </c>
      <c r="K111" s="2599">
        <f t="shared" si="65"/>
        <v>0</v>
      </c>
      <c r="L111" s="2599">
        <f t="shared" si="65"/>
        <v>0</v>
      </c>
      <c r="M111" s="3378" t="s">
        <v>61</v>
      </c>
      <c r="N111" s="3386"/>
    </row>
    <row r="112" spans="1:17" s="2737" customFormat="1" ht="13.5" hidden="1" customHeight="1">
      <c r="A112" s="3382"/>
      <c r="B112" s="832" t="s">
        <v>24</v>
      </c>
      <c r="C112" s="3109">
        <v>75861</v>
      </c>
      <c r="D112" s="2691"/>
      <c r="E112" s="2691"/>
      <c r="F112" s="2615"/>
      <c r="G112" s="2615"/>
      <c r="H112" s="2615"/>
      <c r="I112" s="2615"/>
      <c r="J112" s="2615"/>
      <c r="K112" s="2615"/>
      <c r="L112" s="2615"/>
      <c r="M112" s="3379"/>
      <c r="N112" s="3386"/>
    </row>
    <row r="113" spans="1:16" s="2737" customFormat="1" ht="13.5" hidden="1" customHeight="1">
      <c r="A113" s="3382"/>
      <c r="B113" s="257" t="s">
        <v>13</v>
      </c>
      <c r="C113" s="3377"/>
      <c r="D113" s="280"/>
      <c r="E113" s="1333">
        <v>0</v>
      </c>
      <c r="F113" s="849">
        <v>0</v>
      </c>
      <c r="G113" s="849">
        <v>0</v>
      </c>
      <c r="H113" s="849">
        <v>0</v>
      </c>
      <c r="I113" s="849">
        <v>0</v>
      </c>
      <c r="J113" s="849">
        <v>0</v>
      </c>
      <c r="K113" s="849">
        <v>0</v>
      </c>
      <c r="L113" s="849">
        <v>0</v>
      </c>
      <c r="M113" s="3379"/>
      <c r="N113" s="3386"/>
    </row>
    <row r="114" spans="1:16" s="2737" customFormat="1" ht="13.5" hidden="1" customHeight="1">
      <c r="A114" s="3382"/>
      <c r="B114" s="837" t="s">
        <v>18</v>
      </c>
      <c r="C114" s="3388" t="s">
        <v>23</v>
      </c>
      <c r="D114" s="2691"/>
      <c r="E114" s="2585">
        <v>0</v>
      </c>
      <c r="F114" s="2615">
        <f t="shared" ref="F114:L114" si="66">+F115</f>
        <v>0</v>
      </c>
      <c r="G114" s="2615">
        <f t="shared" si="66"/>
        <v>0</v>
      </c>
      <c r="H114" s="2615">
        <f t="shared" si="66"/>
        <v>0</v>
      </c>
      <c r="I114" s="2687">
        <f t="shared" si="66"/>
        <v>0</v>
      </c>
      <c r="J114" s="2615">
        <f t="shared" si="66"/>
        <v>0</v>
      </c>
      <c r="K114" s="2615">
        <f t="shared" si="66"/>
        <v>0</v>
      </c>
      <c r="L114" s="2687">
        <f t="shared" si="66"/>
        <v>0</v>
      </c>
      <c r="M114" s="3379"/>
      <c r="N114" s="3386"/>
    </row>
    <row r="115" spans="1:16" s="2737" customFormat="1" ht="14.25" hidden="1" customHeight="1" thickBot="1">
      <c r="A115" s="3383"/>
      <c r="B115" s="2689" t="s">
        <v>35</v>
      </c>
      <c r="C115" s="3381"/>
      <c r="D115" s="280"/>
      <c r="E115" s="1333">
        <v>0</v>
      </c>
      <c r="F115" s="2618">
        <v>0</v>
      </c>
      <c r="G115" s="2618">
        <v>0</v>
      </c>
      <c r="H115" s="2618">
        <v>0</v>
      </c>
      <c r="I115" s="2618">
        <v>0</v>
      </c>
      <c r="J115" s="847">
        <v>0</v>
      </c>
      <c r="K115" s="2274">
        <v>0</v>
      </c>
      <c r="L115" s="2690">
        <v>0</v>
      </c>
      <c r="M115" s="3380"/>
      <c r="N115" s="3387"/>
    </row>
    <row r="116" spans="1:16" s="393" customFormat="1" ht="37.5" hidden="1" customHeight="1">
      <c r="A116" s="3393" t="s">
        <v>67</v>
      </c>
      <c r="B116" s="2283"/>
      <c r="C116" s="829" t="s">
        <v>111</v>
      </c>
      <c r="D116" s="2592"/>
      <c r="E116" s="2729"/>
      <c r="F116" s="2729"/>
      <c r="G116" s="2729"/>
      <c r="H116" s="2729"/>
      <c r="I116" s="2729"/>
      <c r="J116" s="2729"/>
      <c r="K116" s="2593"/>
      <c r="L116" s="2592"/>
      <c r="M116" s="2594"/>
      <c r="N116" s="3360" t="s">
        <v>463</v>
      </c>
    </row>
    <row r="117" spans="1:16" s="393" customFormat="1" ht="14.25" hidden="1" customHeight="1">
      <c r="A117" s="3394"/>
      <c r="B117" s="626" t="s">
        <v>10</v>
      </c>
      <c r="C117" s="2659"/>
      <c r="D117" s="846"/>
      <c r="E117" s="1026">
        <v>0</v>
      </c>
      <c r="F117" s="846">
        <f t="shared" ref="F117:M117" si="67">+F118</f>
        <v>0</v>
      </c>
      <c r="G117" s="846">
        <f t="shared" si="67"/>
        <v>0</v>
      </c>
      <c r="H117" s="846">
        <f t="shared" si="67"/>
        <v>0</v>
      </c>
      <c r="I117" s="846">
        <f t="shared" si="67"/>
        <v>0</v>
      </c>
      <c r="J117" s="846">
        <f t="shared" si="67"/>
        <v>0</v>
      </c>
      <c r="K117" s="2197">
        <f t="shared" si="67"/>
        <v>0</v>
      </c>
      <c r="L117" s="2197">
        <f t="shared" si="67"/>
        <v>0</v>
      </c>
      <c r="M117" s="2692">
        <f t="shared" si="67"/>
        <v>0</v>
      </c>
      <c r="N117" s="3361"/>
    </row>
    <row r="118" spans="1:16" s="381" customFormat="1" ht="15.75" hidden="1" customHeight="1">
      <c r="A118" s="3394"/>
      <c r="B118" s="832" t="s">
        <v>24</v>
      </c>
      <c r="C118" s="3363" t="s">
        <v>132</v>
      </c>
      <c r="D118" s="2679"/>
      <c r="E118" s="2621">
        <v>0</v>
      </c>
      <c r="F118" s="2679">
        <f t="shared" ref="F118:M118" si="68">+F119+F120</f>
        <v>0</v>
      </c>
      <c r="G118" s="2679">
        <f t="shared" si="68"/>
        <v>0</v>
      </c>
      <c r="H118" s="2679">
        <f t="shared" si="68"/>
        <v>0</v>
      </c>
      <c r="I118" s="2679">
        <f t="shared" si="68"/>
        <v>0</v>
      </c>
      <c r="J118" s="2679">
        <f t="shared" si="68"/>
        <v>0</v>
      </c>
      <c r="K118" s="1422">
        <f t="shared" si="68"/>
        <v>0</v>
      </c>
      <c r="L118" s="1422">
        <f t="shared" si="68"/>
        <v>0</v>
      </c>
      <c r="M118" s="2674">
        <f t="shared" si="68"/>
        <v>0</v>
      </c>
      <c r="N118" s="3361"/>
    </row>
    <row r="119" spans="1:16" s="381" customFormat="1" ht="13.5" hidden="1" customHeight="1">
      <c r="A119" s="3394"/>
      <c r="B119" s="2693" t="s">
        <v>130</v>
      </c>
      <c r="C119" s="3364"/>
      <c r="D119" s="2681"/>
      <c r="E119" s="2641">
        <v>0</v>
      </c>
      <c r="F119" s="2694"/>
      <c r="G119" s="2694"/>
      <c r="H119" s="2694"/>
      <c r="I119" s="2694"/>
      <c r="J119" s="2694"/>
      <c r="K119" s="2694"/>
      <c r="L119" s="2694"/>
      <c r="M119" s="2675">
        <v>0</v>
      </c>
      <c r="N119" s="3361"/>
    </row>
    <row r="120" spans="1:16" s="381" customFormat="1" ht="15" hidden="1" customHeight="1" thickBot="1">
      <c r="A120" s="2731"/>
      <c r="B120" s="2683" t="s">
        <v>133</v>
      </c>
      <c r="C120" s="3365"/>
      <c r="D120" s="280"/>
      <c r="E120" s="1922">
        <v>0</v>
      </c>
      <c r="F120" s="2694"/>
      <c r="G120" s="2695"/>
      <c r="H120" s="2695"/>
      <c r="I120" s="2695"/>
      <c r="J120" s="2695"/>
      <c r="K120" s="2695"/>
      <c r="L120" s="2695"/>
      <c r="M120" s="2696">
        <f>+F120</f>
        <v>0</v>
      </c>
      <c r="N120" s="3362"/>
      <c r="O120" s="2697"/>
    </row>
    <row r="121" spans="1:16" s="393" customFormat="1" ht="26.25" hidden="1" customHeight="1">
      <c r="A121" s="3393" t="s">
        <v>117</v>
      </c>
      <c r="B121" s="2673"/>
      <c r="C121" s="829" t="s">
        <v>111</v>
      </c>
      <c r="D121" s="2592"/>
      <c r="E121" s="2729"/>
      <c r="F121" s="2729"/>
      <c r="G121" s="2729"/>
      <c r="H121" s="2729"/>
      <c r="I121" s="2729"/>
      <c r="J121" s="2729"/>
      <c r="K121" s="2593"/>
      <c r="L121" s="2592"/>
      <c r="M121" s="2594"/>
      <c r="N121" s="3360" t="s">
        <v>363</v>
      </c>
    </row>
    <row r="122" spans="1:16" s="393" customFormat="1" ht="13.5" hidden="1" customHeight="1">
      <c r="A122" s="3394"/>
      <c r="B122" s="626" t="s">
        <v>10</v>
      </c>
      <c r="C122" s="2583"/>
      <c r="D122" s="831"/>
      <c r="E122" s="831">
        <v>0</v>
      </c>
      <c r="F122" s="831">
        <f t="shared" ref="F122:L122" si="69">+F123</f>
        <v>0</v>
      </c>
      <c r="G122" s="831">
        <f t="shared" si="69"/>
        <v>0</v>
      </c>
      <c r="H122" s="831">
        <f t="shared" si="69"/>
        <v>0</v>
      </c>
      <c r="I122" s="2599">
        <f t="shared" si="69"/>
        <v>0</v>
      </c>
      <c r="J122" s="2599">
        <f t="shared" si="69"/>
        <v>0</v>
      </c>
      <c r="K122" s="2600">
        <f t="shared" si="69"/>
        <v>0</v>
      </c>
      <c r="L122" s="2600">
        <f t="shared" si="69"/>
        <v>0</v>
      </c>
      <c r="M122" s="2601">
        <f>+M123</f>
        <v>0</v>
      </c>
      <c r="N122" s="3361"/>
    </row>
    <row r="123" spans="1:16" s="381" customFormat="1" ht="13.5" hidden="1" customHeight="1">
      <c r="A123" s="3394"/>
      <c r="B123" s="832" t="s">
        <v>24</v>
      </c>
      <c r="C123" s="3363" t="s">
        <v>132</v>
      </c>
      <c r="D123" s="2679"/>
      <c r="E123" s="833">
        <v>0</v>
      </c>
      <c r="F123" s="2679">
        <f t="shared" ref="F123:L123" si="70">+F124+F125</f>
        <v>0</v>
      </c>
      <c r="G123" s="2679">
        <f t="shared" si="70"/>
        <v>0</v>
      </c>
      <c r="H123" s="2679">
        <f t="shared" si="70"/>
        <v>0</v>
      </c>
      <c r="I123" s="2698">
        <f t="shared" si="70"/>
        <v>0</v>
      </c>
      <c r="J123" s="2698">
        <f t="shared" si="70"/>
        <v>0</v>
      </c>
      <c r="K123" s="851">
        <f t="shared" si="70"/>
        <v>0</v>
      </c>
      <c r="L123" s="851">
        <f t="shared" si="70"/>
        <v>0</v>
      </c>
      <c r="M123" s="2674">
        <f>+M125</f>
        <v>0</v>
      </c>
      <c r="N123" s="3361"/>
      <c r="P123" s="2544"/>
    </row>
    <row r="124" spans="1:16" s="381" customFormat="1" ht="13.5" hidden="1" customHeight="1">
      <c r="A124" s="3394"/>
      <c r="B124" s="2607" t="s">
        <v>130</v>
      </c>
      <c r="C124" s="3364"/>
      <c r="D124" s="280"/>
      <c r="E124" s="1333"/>
      <c r="F124" s="2610"/>
      <c r="G124" s="2437"/>
      <c r="H124" s="2437"/>
      <c r="I124" s="841">
        <v>0</v>
      </c>
      <c r="J124" s="841">
        <v>0</v>
      </c>
      <c r="K124" s="842">
        <v>0</v>
      </c>
      <c r="L124" s="842">
        <v>0</v>
      </c>
      <c r="M124" s="2699" t="s">
        <v>61</v>
      </c>
      <c r="N124" s="3361"/>
    </row>
    <row r="125" spans="1:16" s="381" customFormat="1" ht="13.5" hidden="1" customHeight="1" thickBot="1">
      <c r="A125" s="3395"/>
      <c r="B125" s="2683" t="s">
        <v>133</v>
      </c>
      <c r="C125" s="3365"/>
      <c r="D125" s="280"/>
      <c r="E125" s="1922"/>
      <c r="F125" s="700"/>
      <c r="G125" s="2676"/>
      <c r="H125" s="2676"/>
      <c r="I125" s="789">
        <v>0</v>
      </c>
      <c r="J125" s="789">
        <v>0</v>
      </c>
      <c r="K125" s="845">
        <v>0</v>
      </c>
      <c r="L125" s="845">
        <v>0</v>
      </c>
      <c r="M125" s="2700">
        <f>SUM(F125:L125)</f>
        <v>0</v>
      </c>
      <c r="N125" s="3362"/>
    </row>
    <row r="126" spans="1:16" s="381" customFormat="1" ht="48.75" customHeight="1">
      <c r="A126" s="3393" t="s">
        <v>65</v>
      </c>
      <c r="B126" s="2673" t="s">
        <v>542</v>
      </c>
      <c r="C126" s="829" t="s">
        <v>111</v>
      </c>
      <c r="D126" s="2592"/>
      <c r="E126" s="2729"/>
      <c r="F126" s="2729"/>
      <c r="G126" s="2729"/>
      <c r="H126" s="2729"/>
      <c r="I126" s="2729"/>
      <c r="J126" s="627"/>
      <c r="K126" s="627"/>
      <c r="L126" s="2701"/>
      <c r="M126" s="2702"/>
      <c r="N126" s="3389" t="s">
        <v>367</v>
      </c>
    </row>
    <row r="127" spans="1:16" s="381" customFormat="1" ht="13.5" customHeight="1">
      <c r="A127" s="3394"/>
      <c r="B127" s="626" t="s">
        <v>10</v>
      </c>
      <c r="C127" s="2583"/>
      <c r="D127" s="2703">
        <f>+D128</f>
        <v>1749997.64</v>
      </c>
      <c r="E127" s="2703">
        <f t="shared" ref="E127" si="71">+E128</f>
        <v>116666.64</v>
      </c>
      <c r="F127" s="2703">
        <f t="shared" ref="F127:L127" si="72">+F128</f>
        <v>233333</v>
      </c>
      <c r="G127" s="2703">
        <f t="shared" si="72"/>
        <v>233333</v>
      </c>
      <c r="H127" s="2703">
        <f t="shared" si="72"/>
        <v>233333</v>
      </c>
      <c r="I127" s="2703">
        <f t="shared" si="72"/>
        <v>233333</v>
      </c>
      <c r="J127" s="2703">
        <f t="shared" si="72"/>
        <v>233333</v>
      </c>
      <c r="K127" s="2703">
        <f t="shared" si="72"/>
        <v>233333</v>
      </c>
      <c r="L127" s="2703">
        <f t="shared" si="72"/>
        <v>233333</v>
      </c>
      <c r="M127" s="2704">
        <f>+M128</f>
        <v>2683333</v>
      </c>
      <c r="N127" s="3390"/>
    </row>
    <row r="128" spans="1:16" s="381" customFormat="1" ht="13.5" customHeight="1">
      <c r="A128" s="3394"/>
      <c r="B128" s="832" t="s">
        <v>24</v>
      </c>
      <c r="C128" s="3363" t="s">
        <v>132</v>
      </c>
      <c r="D128" s="2705">
        <f>+D130+D129</f>
        <v>1749997.64</v>
      </c>
      <c r="E128" s="2705">
        <f>+E129</f>
        <v>116666.64</v>
      </c>
      <c r="F128" s="2705">
        <f t="shared" ref="F128:L128" si="73">+F129+F130</f>
        <v>233333</v>
      </c>
      <c r="G128" s="2705">
        <f t="shared" si="73"/>
        <v>233333</v>
      </c>
      <c r="H128" s="2705">
        <f t="shared" si="73"/>
        <v>233333</v>
      </c>
      <c r="I128" s="2705">
        <f t="shared" si="73"/>
        <v>233333</v>
      </c>
      <c r="J128" s="2705">
        <f t="shared" si="73"/>
        <v>233333</v>
      </c>
      <c r="K128" s="2705">
        <f t="shared" si="73"/>
        <v>233333</v>
      </c>
      <c r="L128" s="2705">
        <f t="shared" si="73"/>
        <v>233333</v>
      </c>
      <c r="M128" s="2674">
        <f>+M130</f>
        <v>2683333</v>
      </c>
      <c r="N128" s="3390"/>
    </row>
    <row r="129" spans="1:21" s="381" customFormat="1" ht="12.75" customHeight="1">
      <c r="A129" s="3394"/>
      <c r="B129" s="2607" t="s">
        <v>130</v>
      </c>
      <c r="C129" s="3364"/>
      <c r="D129" s="280">
        <f>E129+F129+G129+H129+I129+J129+K129+L129</f>
        <v>116666.64</v>
      </c>
      <c r="E129" s="2623">
        <v>116666.64</v>
      </c>
      <c r="F129" s="2706">
        <v>0</v>
      </c>
      <c r="G129" s="2706">
        <v>0</v>
      </c>
      <c r="H129" s="2706">
        <v>0</v>
      </c>
      <c r="I129" s="2706">
        <v>0</v>
      </c>
      <c r="J129" s="2706"/>
      <c r="K129" s="2706"/>
      <c r="L129" s="2706"/>
      <c r="M129" s="2532"/>
      <c r="N129" s="3390"/>
    </row>
    <row r="130" spans="1:21" s="381" customFormat="1" ht="13.5" customHeight="1" thickBot="1">
      <c r="A130" s="3395"/>
      <c r="B130" s="2683" t="s">
        <v>133</v>
      </c>
      <c r="C130" s="3365"/>
      <c r="D130" s="1336">
        <f>E130+F130+G130+H130+I130+J130+K130+L130+O130</f>
        <v>1633331</v>
      </c>
      <c r="E130" s="1340">
        <v>0</v>
      </c>
      <c r="F130" s="700">
        <v>233333</v>
      </c>
      <c r="G130" s="700">
        <v>233333</v>
      </c>
      <c r="H130" s="700">
        <v>233333</v>
      </c>
      <c r="I130" s="700">
        <v>233333</v>
      </c>
      <c r="J130" s="700">
        <v>233333</v>
      </c>
      <c r="K130" s="700">
        <v>233333</v>
      </c>
      <c r="L130" s="700">
        <v>233333</v>
      </c>
      <c r="M130" s="2700">
        <f>+L130+K130+J130+I130+H130+G130+F130+1050002</f>
        <v>2683333</v>
      </c>
      <c r="N130" s="3391"/>
      <c r="O130" s="2697"/>
    </row>
    <row r="131" spans="1:21" s="393" customFormat="1" ht="42" customHeight="1">
      <c r="A131" s="3393" t="s">
        <v>66</v>
      </c>
      <c r="B131" s="2283" t="s">
        <v>545</v>
      </c>
      <c r="C131" s="829" t="s">
        <v>111</v>
      </c>
      <c r="D131" s="2592"/>
      <c r="E131" s="2729"/>
      <c r="F131" s="2729"/>
      <c r="G131" s="2729"/>
      <c r="H131" s="2729"/>
      <c r="I131" s="2729"/>
      <c r="J131" s="2729"/>
      <c r="K131" s="2593"/>
      <c r="L131" s="2592"/>
      <c r="M131" s="2594"/>
      <c r="N131" s="3360" t="s">
        <v>463</v>
      </c>
    </row>
    <row r="132" spans="1:21" s="393" customFormat="1" ht="13.5" customHeight="1">
      <c r="A132" s="3394"/>
      <c r="B132" s="626" t="s">
        <v>10</v>
      </c>
      <c r="C132" s="2583"/>
      <c r="D132" s="831">
        <f>+D133</f>
        <v>22497680</v>
      </c>
      <c r="E132" s="831">
        <f t="shared" ref="E132:L132" si="74">+E133</f>
        <v>0</v>
      </c>
      <c r="F132" s="2599">
        <f t="shared" si="74"/>
        <v>0</v>
      </c>
      <c r="G132" s="831">
        <f t="shared" si="74"/>
        <v>2934480</v>
      </c>
      <c r="H132" s="831">
        <f t="shared" si="74"/>
        <v>3912640</v>
      </c>
      <c r="I132" s="831">
        <f t="shared" si="74"/>
        <v>3912640</v>
      </c>
      <c r="J132" s="831">
        <f t="shared" si="74"/>
        <v>3912640</v>
      </c>
      <c r="K132" s="831">
        <f t="shared" si="74"/>
        <v>3912640</v>
      </c>
      <c r="L132" s="831">
        <f t="shared" si="74"/>
        <v>3912640</v>
      </c>
      <c r="M132" s="2601">
        <f>+M133</f>
        <v>55755125</v>
      </c>
      <c r="N132" s="3361"/>
    </row>
    <row r="133" spans="1:21" s="381" customFormat="1" ht="13.5" customHeight="1">
      <c r="A133" s="3394"/>
      <c r="B133" s="832" t="s">
        <v>24</v>
      </c>
      <c r="C133" s="3363" t="s">
        <v>132</v>
      </c>
      <c r="D133" s="2679">
        <f>+D134+D135</f>
        <v>22497680</v>
      </c>
      <c r="E133" s="2679">
        <f t="shared" ref="E133" si="75">+E134+E135</f>
        <v>0</v>
      </c>
      <c r="F133" s="2698">
        <f t="shared" ref="F133:L133" si="76">+F134+F135</f>
        <v>0</v>
      </c>
      <c r="G133" s="2679">
        <f t="shared" si="76"/>
        <v>2934480</v>
      </c>
      <c r="H133" s="2679">
        <f t="shared" si="76"/>
        <v>3912640</v>
      </c>
      <c r="I133" s="2679">
        <f t="shared" si="76"/>
        <v>3912640</v>
      </c>
      <c r="J133" s="2679">
        <f t="shared" si="76"/>
        <v>3912640</v>
      </c>
      <c r="K133" s="2679">
        <f t="shared" si="76"/>
        <v>3912640</v>
      </c>
      <c r="L133" s="2679">
        <f t="shared" si="76"/>
        <v>3912640</v>
      </c>
      <c r="M133" s="2674">
        <f>+M134+M135</f>
        <v>55755125</v>
      </c>
      <c r="N133" s="3361"/>
      <c r="P133" s="2544"/>
    </row>
    <row r="134" spans="1:21" s="381" customFormat="1" ht="13.5" customHeight="1">
      <c r="A134" s="3394"/>
      <c r="B134" s="2607" t="s">
        <v>130</v>
      </c>
      <c r="C134" s="3364"/>
      <c r="D134" s="280">
        <f>E134+F134+G134+H134+I134+J134+K134+L134</f>
        <v>0</v>
      </c>
      <c r="E134" s="2623">
        <v>0</v>
      </c>
      <c r="F134" s="841">
        <v>0</v>
      </c>
      <c r="G134" s="841">
        <v>0</v>
      </c>
      <c r="H134" s="841">
        <v>0</v>
      </c>
      <c r="I134" s="841">
        <v>0</v>
      </c>
      <c r="J134" s="841">
        <v>0</v>
      </c>
      <c r="K134" s="842">
        <v>0</v>
      </c>
      <c r="L134" s="842">
        <v>0</v>
      </c>
      <c r="M134" s="2528">
        <f>+H134+G134+F134</f>
        <v>0</v>
      </c>
      <c r="N134" s="3361"/>
    </row>
    <row r="135" spans="1:21" s="381" customFormat="1" ht="13.5" customHeight="1" thickBot="1">
      <c r="A135" s="3395"/>
      <c r="B135" s="2683" t="s">
        <v>133</v>
      </c>
      <c r="C135" s="3365"/>
      <c r="D135" s="1336">
        <f>E135+F135+G135+H135+I135+J135+K135+L135+O135</f>
        <v>22497680</v>
      </c>
      <c r="E135" s="1340">
        <v>0</v>
      </c>
      <c r="F135" s="789">
        <v>0</v>
      </c>
      <c r="G135" s="700">
        <v>2934480</v>
      </c>
      <c r="H135" s="700">
        <v>3912640</v>
      </c>
      <c r="I135" s="700">
        <v>3912640</v>
      </c>
      <c r="J135" s="700">
        <v>3912640</v>
      </c>
      <c r="K135" s="700">
        <v>3912640</v>
      </c>
      <c r="L135" s="700">
        <v>3912640</v>
      </c>
      <c r="M135" s="2700">
        <f>+L135+K135+J135+I135+H135+G135+33257445</f>
        <v>55755125</v>
      </c>
      <c r="N135" s="3362"/>
      <c r="O135" s="2697"/>
    </row>
    <row r="136" spans="1:21" s="2707" customFormat="1" ht="13.5" customHeight="1">
      <c r="A136" s="3425"/>
      <c r="B136" s="3425"/>
      <c r="C136" s="3425"/>
      <c r="D136" s="3425"/>
      <c r="E136" s="3425"/>
      <c r="F136" s="3425"/>
      <c r="G136" s="3425"/>
      <c r="H136" s="3425"/>
      <c r="I136" s="3425"/>
      <c r="J136" s="3425"/>
      <c r="K136" s="3425"/>
      <c r="L136" s="3425"/>
      <c r="M136" s="3425"/>
      <c r="N136" s="3425"/>
    </row>
    <row r="137" spans="1:21" s="371" customFormat="1" ht="12.75" customHeight="1">
      <c r="A137" s="3426" t="s">
        <v>543</v>
      </c>
      <c r="B137" s="3426"/>
      <c r="C137" s="3426"/>
      <c r="D137" s="3426"/>
      <c r="E137" s="3426"/>
      <c r="F137" s="3426"/>
      <c r="G137" s="3426"/>
      <c r="H137" s="3426"/>
      <c r="I137" s="3426"/>
      <c r="J137" s="3426"/>
      <c r="K137" s="3426"/>
      <c r="L137" s="3426"/>
    </row>
    <row r="138" spans="1:21" s="371" customFormat="1" ht="12.75" customHeight="1">
      <c r="A138" s="3426" t="s">
        <v>544</v>
      </c>
      <c r="B138" s="3426"/>
      <c r="C138" s="3426"/>
      <c r="D138" s="3426"/>
      <c r="E138" s="3426"/>
      <c r="F138" s="3426"/>
      <c r="G138" s="3426"/>
      <c r="H138" s="3426"/>
      <c r="I138" s="3426"/>
      <c r="J138" s="2728"/>
      <c r="K138" s="2728"/>
      <c r="L138" s="2728"/>
    </row>
    <row r="139" spans="1:21" s="2707" customFormat="1" ht="13.5" customHeight="1">
      <c r="A139" s="3425"/>
      <c r="B139" s="3425"/>
      <c r="C139" s="3425"/>
      <c r="D139" s="3425"/>
      <c r="E139" s="3425"/>
      <c r="F139" s="3425"/>
      <c r="G139" s="3425"/>
      <c r="H139" s="3425"/>
      <c r="I139" s="3425"/>
      <c r="J139" s="3425"/>
      <c r="K139" s="3425"/>
      <c r="L139" s="3425"/>
      <c r="M139" s="3425"/>
      <c r="N139" s="3425"/>
    </row>
    <row r="140" spans="1:21" s="2708" customFormat="1" ht="12.75" customHeight="1">
      <c r="E140" s="2709"/>
      <c r="F140" s="363"/>
      <c r="G140" s="363"/>
      <c r="H140" s="363"/>
      <c r="I140" s="363"/>
      <c r="J140" s="363"/>
      <c r="K140" s="363"/>
      <c r="L140" s="363"/>
      <c r="M140" s="363"/>
      <c r="N140" s="448"/>
    </row>
    <row r="141" spans="1:21" s="393" customFormat="1" ht="10.5" hidden="1" customHeight="1">
      <c r="A141" s="362"/>
      <c r="B141" s="363"/>
      <c r="C141" s="366"/>
      <c r="D141" s="366"/>
      <c r="E141" s="363"/>
      <c r="F141" s="363"/>
      <c r="G141" s="363"/>
      <c r="H141" s="363"/>
      <c r="I141" s="363"/>
      <c r="J141" s="363"/>
      <c r="K141" s="363"/>
      <c r="L141" s="363"/>
      <c r="M141" s="363"/>
      <c r="N141" s="448"/>
    </row>
    <row r="142" spans="1:21" s="2707" customFormat="1" ht="15.75" hidden="1" customHeight="1">
      <c r="B142" s="363"/>
      <c r="C142" s="363"/>
      <c r="D142" s="363"/>
      <c r="E142" s="363"/>
      <c r="F142" s="2710">
        <v>2017</v>
      </c>
      <c r="G142" s="2710">
        <v>2018</v>
      </c>
      <c r="H142" s="2710">
        <v>2019</v>
      </c>
      <c r="I142" s="2710">
        <v>2020</v>
      </c>
      <c r="J142" s="2710">
        <v>2021</v>
      </c>
      <c r="K142" s="2710">
        <v>2022</v>
      </c>
      <c r="L142" s="2710">
        <v>2023</v>
      </c>
      <c r="M142" s="2710">
        <v>2024</v>
      </c>
      <c r="N142" s="2710">
        <v>2025</v>
      </c>
      <c r="O142" s="2710">
        <v>2026</v>
      </c>
      <c r="P142" s="2710">
        <v>2027</v>
      </c>
      <c r="Q142" s="2710">
        <v>2028</v>
      </c>
      <c r="R142" s="2710">
        <v>2029</v>
      </c>
      <c r="S142" s="2710">
        <v>2030</v>
      </c>
      <c r="T142" s="2710">
        <v>2031</v>
      </c>
      <c r="U142" s="2710">
        <v>2032</v>
      </c>
    </row>
    <row r="143" spans="1:21" s="2707" customFormat="1" ht="15.75" hidden="1" customHeight="1">
      <c r="A143" s="362"/>
      <c r="B143" s="2711" t="s">
        <v>271</v>
      </c>
      <c r="C143" s="2711"/>
      <c r="D143" s="2712"/>
      <c r="E143" s="2711"/>
      <c r="F143" s="2713">
        <f>+F125+F120+F92+F87+F82+F130+F135</f>
        <v>1313333</v>
      </c>
      <c r="G143" s="2713">
        <f t="shared" ref="G143:L143" si="77">+G125+G120+G92+G87+G82+G130+G135</f>
        <v>4247813</v>
      </c>
      <c r="H143" s="2713">
        <f t="shared" si="77"/>
        <v>5225973</v>
      </c>
      <c r="I143" s="2713">
        <f>+I125+I120+I92+I87+I82+I130+I135</f>
        <v>5225973</v>
      </c>
      <c r="J143" s="2713">
        <f t="shared" si="77"/>
        <v>5225973</v>
      </c>
      <c r="K143" s="2713">
        <f t="shared" si="77"/>
        <v>5085973</v>
      </c>
      <c r="L143" s="2713">
        <f t="shared" si="77"/>
        <v>4145973</v>
      </c>
      <c r="M143" s="2713">
        <f>4145973</f>
        <v>4145973</v>
      </c>
      <c r="N143" s="2713">
        <v>4145973</v>
      </c>
      <c r="O143" s="2713">
        <v>4145973</v>
      </c>
      <c r="P143" s="2713">
        <v>4145973</v>
      </c>
      <c r="Q143" s="2713">
        <v>4029310</v>
      </c>
      <c r="R143" s="2713">
        <v>3912640</v>
      </c>
      <c r="S143" s="2713">
        <v>3912640</v>
      </c>
      <c r="T143" s="2713">
        <v>3912640</v>
      </c>
      <c r="U143" s="2713">
        <v>1956325</v>
      </c>
    </row>
    <row r="144" spans="1:21" s="2707" customFormat="1" ht="15.75" hidden="1" customHeight="1">
      <c r="A144" s="362"/>
      <c r="B144" s="363"/>
      <c r="C144" s="363"/>
      <c r="D144" s="366"/>
      <c r="E144" s="363"/>
      <c r="F144" s="363"/>
      <c r="G144" s="363"/>
      <c r="H144" s="363"/>
      <c r="I144" s="363"/>
      <c r="J144" s="363"/>
      <c r="K144" s="363"/>
      <c r="L144" s="363"/>
      <c r="M144" s="363"/>
      <c r="N144" s="448"/>
      <c r="U144" s="2714">
        <f>SUM(F143:U143)</f>
        <v>64778458</v>
      </c>
    </row>
    <row r="145" spans="1:21" s="2707" customFormat="1" ht="12" hidden="1" customHeight="1">
      <c r="A145" s="362"/>
      <c r="B145" s="363"/>
      <c r="C145" s="363"/>
      <c r="D145" s="366"/>
      <c r="E145" s="363"/>
      <c r="F145" s="363"/>
      <c r="G145" s="363"/>
      <c r="H145" s="363"/>
      <c r="I145" s="363"/>
      <c r="J145" s="363"/>
      <c r="K145" s="363"/>
      <c r="L145" s="363"/>
      <c r="M145" s="363"/>
      <c r="N145" s="448"/>
      <c r="Q145" s="2714"/>
      <c r="U145" s="2714">
        <f>M135+M130+M125+M120+M92+M87+M82</f>
        <v>64778458</v>
      </c>
    </row>
    <row r="146" spans="1:21" s="2715" customFormat="1" ht="22.5" hidden="1" customHeight="1">
      <c r="A146" s="362"/>
      <c r="B146" s="363"/>
      <c r="C146" s="363"/>
      <c r="D146" s="363"/>
      <c r="E146" s="363"/>
      <c r="F146" s="363"/>
      <c r="G146" s="363"/>
      <c r="H146" s="363"/>
      <c r="I146" s="363"/>
      <c r="J146" s="363"/>
      <c r="K146" s="363"/>
      <c r="L146" s="363"/>
      <c r="M146" s="363"/>
      <c r="N146" s="448"/>
      <c r="U146" s="2716">
        <f>U144-U145</f>
        <v>0</v>
      </c>
    </row>
    <row r="147" spans="1:21" s="393" customFormat="1" ht="12.75" customHeight="1">
      <c r="A147" s="362"/>
      <c r="B147" s="363"/>
      <c r="C147" s="363"/>
      <c r="D147" s="363"/>
      <c r="E147" s="363"/>
      <c r="F147" s="363"/>
      <c r="G147" s="363"/>
      <c r="H147" s="363"/>
      <c r="I147" s="363"/>
      <c r="J147" s="363"/>
      <c r="K147" s="363"/>
      <c r="L147" s="363"/>
      <c r="M147" s="363"/>
      <c r="N147" s="448"/>
    </row>
    <row r="148" spans="1:21" s="393" customFormat="1" ht="12.75" customHeight="1">
      <c r="A148" s="2717"/>
      <c r="B148" s="363"/>
      <c r="C148" s="363"/>
      <c r="D148" s="363"/>
      <c r="E148" s="363"/>
      <c r="F148" s="363"/>
      <c r="G148" s="363"/>
      <c r="H148" s="363"/>
      <c r="I148" s="363"/>
      <c r="J148" s="363"/>
      <c r="K148" s="363"/>
      <c r="L148" s="363"/>
      <c r="M148" s="363"/>
      <c r="N148" s="448"/>
    </row>
    <row r="149" spans="1:21" s="393" customFormat="1">
      <c r="A149" s="362"/>
      <c r="B149" s="363"/>
      <c r="C149" s="363"/>
      <c r="D149" s="363"/>
      <c r="E149" s="363"/>
      <c r="F149" s="363"/>
      <c r="G149" s="363"/>
      <c r="H149" s="363"/>
      <c r="I149" s="363"/>
      <c r="J149" s="363"/>
      <c r="K149" s="363"/>
      <c r="L149" s="363"/>
      <c r="M149" s="363"/>
      <c r="N149" s="448"/>
    </row>
    <row r="150" spans="1:21" s="2715" customFormat="1" ht="14.25" customHeight="1">
      <c r="A150" s="362"/>
      <c r="B150" s="363"/>
      <c r="C150" s="363"/>
      <c r="D150" s="363"/>
      <c r="E150" s="363"/>
      <c r="F150" s="363"/>
      <c r="G150" s="363"/>
      <c r="H150" s="363"/>
      <c r="I150" s="363"/>
      <c r="J150" s="363"/>
      <c r="K150" s="363"/>
      <c r="L150" s="363"/>
      <c r="M150" s="363"/>
      <c r="N150" s="448"/>
    </row>
    <row r="151" spans="1:21" s="393" customFormat="1" ht="12.75" customHeight="1">
      <c r="A151" s="362"/>
      <c r="B151" s="363"/>
      <c r="C151" s="363"/>
      <c r="D151" s="363"/>
      <c r="E151" s="363"/>
      <c r="F151" s="363"/>
      <c r="G151" s="363"/>
      <c r="H151" s="363"/>
      <c r="I151" s="363"/>
      <c r="J151" s="363"/>
      <c r="K151" s="363"/>
      <c r="L151" s="363"/>
      <c r="M151" s="363"/>
      <c r="N151" s="448"/>
    </row>
    <row r="152" spans="1:21" s="393" customFormat="1" ht="12.75" customHeight="1">
      <c r="A152" s="362"/>
      <c r="B152" s="363"/>
      <c r="C152" s="363"/>
      <c r="D152" s="363"/>
      <c r="E152" s="363"/>
      <c r="F152" s="363"/>
      <c r="G152" s="363"/>
      <c r="H152" s="363"/>
      <c r="I152" s="363"/>
      <c r="J152" s="363"/>
      <c r="K152" s="363"/>
      <c r="L152" s="363"/>
      <c r="M152" s="363"/>
      <c r="N152" s="448"/>
    </row>
    <row r="153" spans="1:21" s="393" customFormat="1">
      <c r="A153" s="362"/>
      <c r="B153" s="363"/>
      <c r="C153" s="363"/>
      <c r="D153" s="363"/>
      <c r="E153" s="363"/>
      <c r="F153" s="363"/>
      <c r="G153" s="363"/>
      <c r="H153" s="363"/>
      <c r="I153" s="363"/>
      <c r="J153" s="363"/>
      <c r="K153" s="363"/>
      <c r="L153" s="363"/>
      <c r="M153" s="363"/>
      <c r="N153" s="448"/>
    </row>
    <row r="154" spans="1:21" s="393" customFormat="1">
      <c r="A154" s="362"/>
      <c r="B154" s="363"/>
      <c r="C154" s="363"/>
      <c r="D154" s="363"/>
      <c r="E154" s="363"/>
      <c r="F154" s="363"/>
      <c r="G154" s="363"/>
      <c r="H154" s="363"/>
      <c r="I154" s="363"/>
      <c r="J154" s="363"/>
      <c r="K154" s="363"/>
      <c r="L154" s="363"/>
      <c r="M154" s="363"/>
      <c r="N154" s="448"/>
    </row>
    <row r="155" spans="1:21" s="2715" customFormat="1" ht="33.75" customHeight="1">
      <c r="A155" s="362"/>
      <c r="B155" s="363"/>
      <c r="C155" s="363"/>
      <c r="D155" s="363"/>
      <c r="E155" s="363"/>
      <c r="F155" s="363"/>
      <c r="G155" s="363"/>
      <c r="H155" s="363"/>
      <c r="I155" s="363"/>
      <c r="J155" s="363"/>
      <c r="K155" s="363"/>
      <c r="L155" s="363"/>
      <c r="M155" s="363"/>
      <c r="N155" s="448"/>
    </row>
    <row r="156" spans="1:21" s="393" customFormat="1" ht="12.75" customHeight="1">
      <c r="A156" s="362"/>
      <c r="B156" s="363"/>
      <c r="C156" s="363"/>
      <c r="D156" s="363"/>
      <c r="E156" s="363"/>
      <c r="F156" s="363"/>
      <c r="G156" s="363"/>
      <c r="H156" s="363"/>
      <c r="I156" s="363"/>
      <c r="J156" s="363"/>
      <c r="K156" s="363"/>
      <c r="L156" s="363"/>
      <c r="M156" s="363"/>
      <c r="N156" s="448"/>
    </row>
    <row r="157" spans="1:21" s="393" customFormat="1" ht="12.75" customHeight="1">
      <c r="A157" s="362"/>
      <c r="B157" s="363"/>
      <c r="C157" s="363"/>
      <c r="D157" s="363"/>
      <c r="E157" s="363"/>
      <c r="F157" s="363"/>
      <c r="G157" s="363"/>
      <c r="H157" s="363"/>
      <c r="I157" s="363"/>
      <c r="J157" s="363"/>
      <c r="K157" s="363"/>
      <c r="L157" s="363"/>
      <c r="M157" s="363"/>
      <c r="N157" s="448"/>
    </row>
    <row r="158" spans="1:21" s="393" customFormat="1" ht="12.75" customHeight="1">
      <c r="A158" s="362"/>
      <c r="B158" s="363"/>
      <c r="C158" s="363"/>
      <c r="D158" s="363"/>
      <c r="E158" s="363"/>
      <c r="F158" s="363"/>
      <c r="G158" s="363"/>
      <c r="H158" s="363"/>
      <c r="I158" s="363"/>
      <c r="J158" s="363"/>
      <c r="K158" s="363"/>
      <c r="L158" s="363"/>
      <c r="M158" s="363"/>
      <c r="N158" s="448"/>
    </row>
    <row r="159" spans="1:21" s="393" customFormat="1" ht="12.75" customHeight="1">
      <c r="A159" s="362"/>
      <c r="B159" s="363"/>
      <c r="C159" s="363"/>
      <c r="D159" s="363"/>
      <c r="E159" s="363"/>
      <c r="F159" s="363"/>
      <c r="G159" s="363"/>
      <c r="H159" s="363"/>
      <c r="I159" s="363"/>
      <c r="J159" s="363"/>
      <c r="K159" s="363"/>
      <c r="L159" s="363"/>
      <c r="M159" s="363"/>
      <c r="N159" s="448"/>
    </row>
    <row r="160" spans="1:21" s="393" customFormat="1">
      <c r="A160" s="362"/>
      <c r="B160" s="363"/>
      <c r="C160" s="363"/>
      <c r="D160" s="363"/>
      <c r="E160" s="363"/>
      <c r="F160" s="363"/>
      <c r="G160" s="363"/>
      <c r="H160" s="363"/>
      <c r="I160" s="363"/>
      <c r="J160" s="363"/>
      <c r="K160" s="363"/>
      <c r="L160" s="363"/>
      <c r="M160" s="363"/>
      <c r="N160" s="448"/>
    </row>
    <row r="161" spans="1:14" s="2715" customFormat="1" ht="12" customHeight="1">
      <c r="A161" s="362"/>
      <c r="B161" s="363"/>
      <c r="C161" s="363"/>
      <c r="D161" s="363"/>
      <c r="E161" s="363"/>
      <c r="F161" s="363"/>
      <c r="G161" s="363"/>
      <c r="H161" s="363"/>
      <c r="I161" s="363"/>
      <c r="J161" s="363"/>
      <c r="K161" s="363"/>
      <c r="L161" s="363"/>
      <c r="M161" s="363"/>
      <c r="N161" s="448"/>
    </row>
    <row r="162" spans="1:14" s="393" customFormat="1" ht="12.75" customHeight="1">
      <c r="A162" s="362"/>
      <c r="B162" s="363"/>
      <c r="C162" s="363"/>
      <c r="D162" s="363"/>
      <c r="E162" s="363"/>
      <c r="F162" s="363"/>
      <c r="G162" s="363"/>
      <c r="H162" s="363"/>
      <c r="I162" s="363"/>
      <c r="J162" s="363"/>
      <c r="K162" s="363"/>
      <c r="L162" s="363"/>
      <c r="M162" s="363"/>
      <c r="N162" s="448"/>
    </row>
    <row r="163" spans="1:14" s="393" customFormat="1" ht="12.75" customHeight="1">
      <c r="A163" s="362"/>
      <c r="B163" s="363"/>
      <c r="C163" s="363"/>
      <c r="D163" s="363"/>
      <c r="E163" s="363"/>
      <c r="F163" s="363"/>
      <c r="G163" s="363"/>
      <c r="H163" s="363"/>
      <c r="I163" s="363"/>
      <c r="J163" s="363"/>
      <c r="K163" s="363"/>
      <c r="L163" s="363"/>
      <c r="M163" s="363"/>
      <c r="N163" s="448"/>
    </row>
    <row r="164" spans="1:14" s="393" customFormat="1">
      <c r="A164" s="362"/>
      <c r="B164" s="363"/>
      <c r="C164" s="363"/>
      <c r="D164" s="363"/>
      <c r="E164" s="363"/>
      <c r="F164" s="363"/>
      <c r="G164" s="363"/>
      <c r="H164" s="363"/>
      <c r="I164" s="363"/>
      <c r="J164" s="363"/>
      <c r="K164" s="363"/>
      <c r="L164" s="363"/>
      <c r="M164" s="363"/>
      <c r="N164" s="448"/>
    </row>
    <row r="165" spans="1:14" s="393" customFormat="1">
      <c r="A165" s="362"/>
      <c r="B165" s="363"/>
      <c r="C165" s="363"/>
      <c r="D165" s="363"/>
      <c r="E165" s="363"/>
      <c r="F165" s="363"/>
      <c r="G165" s="363"/>
      <c r="H165" s="363"/>
      <c r="I165" s="363"/>
      <c r="J165" s="363"/>
      <c r="K165" s="363"/>
      <c r="L165" s="363"/>
      <c r="M165" s="363"/>
      <c r="N165" s="448"/>
    </row>
    <row r="166" spans="1:14" s="2715" customFormat="1" ht="22.5" customHeight="1">
      <c r="A166" s="362"/>
      <c r="B166" s="363"/>
      <c r="C166" s="363"/>
      <c r="D166" s="363"/>
      <c r="E166" s="363"/>
      <c r="F166" s="363"/>
      <c r="G166" s="363"/>
      <c r="H166" s="363"/>
      <c r="I166" s="363"/>
      <c r="J166" s="363"/>
      <c r="K166" s="363"/>
      <c r="L166" s="363"/>
      <c r="M166" s="363"/>
      <c r="N166" s="448"/>
    </row>
    <row r="167" spans="1:14" s="393" customFormat="1" ht="12.75" customHeight="1">
      <c r="A167" s="362"/>
      <c r="B167" s="363"/>
      <c r="C167" s="363"/>
      <c r="D167" s="363"/>
      <c r="E167" s="363"/>
      <c r="F167" s="363"/>
      <c r="G167" s="363"/>
      <c r="H167" s="363"/>
      <c r="I167" s="363"/>
      <c r="J167" s="363"/>
      <c r="K167" s="363"/>
      <c r="L167" s="363"/>
      <c r="M167" s="363"/>
      <c r="N167" s="448"/>
    </row>
    <row r="168" spans="1:14" s="393" customFormat="1" ht="12.75" customHeight="1">
      <c r="A168" s="362"/>
      <c r="B168" s="363"/>
      <c r="C168" s="363"/>
      <c r="D168" s="363"/>
      <c r="E168" s="363"/>
      <c r="F168" s="363"/>
      <c r="G168" s="363"/>
      <c r="H168" s="363"/>
      <c r="I168" s="363"/>
      <c r="J168" s="363"/>
      <c r="K168" s="363"/>
      <c r="L168" s="363"/>
      <c r="M168" s="363"/>
      <c r="N168" s="448"/>
    </row>
    <row r="169" spans="1:14" s="393" customFormat="1">
      <c r="A169" s="362"/>
      <c r="B169" s="363"/>
      <c r="C169" s="363"/>
      <c r="D169" s="363"/>
      <c r="E169" s="363"/>
      <c r="F169" s="363"/>
      <c r="G169" s="363"/>
      <c r="H169" s="363"/>
      <c r="I169" s="363"/>
      <c r="J169" s="363"/>
      <c r="K169" s="363"/>
      <c r="L169" s="363"/>
      <c r="M169" s="363"/>
      <c r="N169" s="448"/>
    </row>
    <row r="170" spans="1:14" s="393" customFormat="1">
      <c r="A170" s="362"/>
      <c r="B170" s="363"/>
      <c r="C170" s="363"/>
      <c r="D170" s="363"/>
      <c r="E170" s="363"/>
      <c r="F170" s="363"/>
      <c r="G170" s="363"/>
      <c r="H170" s="363"/>
      <c r="I170" s="363"/>
      <c r="J170" s="363"/>
      <c r="K170" s="363"/>
      <c r="L170" s="363"/>
      <c r="M170" s="363"/>
      <c r="N170" s="448"/>
    </row>
    <row r="171" spans="1:14" s="2715" customFormat="1" ht="15" customHeight="1">
      <c r="A171" s="362"/>
      <c r="B171" s="363"/>
      <c r="C171" s="363"/>
      <c r="D171" s="363"/>
      <c r="E171" s="363"/>
      <c r="F171" s="363"/>
      <c r="G171" s="363"/>
      <c r="H171" s="363"/>
      <c r="I171" s="363"/>
      <c r="J171" s="363"/>
      <c r="K171" s="363"/>
      <c r="L171" s="363"/>
      <c r="M171" s="363"/>
      <c r="N171" s="448"/>
    </row>
    <row r="172" spans="1:14" s="393" customFormat="1" ht="12.75" customHeight="1">
      <c r="A172" s="362"/>
      <c r="B172" s="363"/>
      <c r="C172" s="363"/>
      <c r="D172" s="363"/>
      <c r="E172" s="363"/>
      <c r="F172" s="363"/>
      <c r="G172" s="363"/>
      <c r="H172" s="363"/>
      <c r="I172" s="363"/>
      <c r="J172" s="363"/>
      <c r="K172" s="363"/>
      <c r="L172" s="363"/>
      <c r="M172" s="363"/>
      <c r="N172" s="448"/>
    </row>
    <row r="173" spans="1:14" s="393" customFormat="1" ht="12.75" customHeight="1">
      <c r="A173" s="362"/>
      <c r="B173" s="363"/>
      <c r="C173" s="363"/>
      <c r="D173" s="363"/>
      <c r="E173" s="363"/>
      <c r="F173" s="363"/>
      <c r="G173" s="363"/>
      <c r="H173" s="363"/>
      <c r="I173" s="363"/>
      <c r="J173" s="363"/>
      <c r="K173" s="363"/>
      <c r="L173" s="363"/>
      <c r="M173" s="363"/>
      <c r="N173" s="448"/>
    </row>
    <row r="174" spans="1:14" s="393" customFormat="1">
      <c r="A174" s="362"/>
      <c r="B174" s="363"/>
      <c r="C174" s="363"/>
      <c r="D174" s="363"/>
      <c r="E174" s="363"/>
      <c r="F174" s="363"/>
      <c r="G174" s="363"/>
      <c r="H174" s="363"/>
      <c r="I174" s="363"/>
      <c r="J174" s="363"/>
      <c r="K174" s="363"/>
      <c r="L174" s="363"/>
      <c r="M174" s="363"/>
      <c r="N174" s="448"/>
    </row>
    <row r="175" spans="1:14" s="393" customFormat="1">
      <c r="A175" s="362"/>
      <c r="B175" s="363"/>
      <c r="C175" s="363"/>
      <c r="D175" s="363"/>
      <c r="E175" s="363"/>
      <c r="F175" s="363"/>
      <c r="G175" s="363"/>
      <c r="H175" s="363"/>
      <c r="I175" s="363"/>
      <c r="J175" s="363"/>
      <c r="K175" s="363"/>
      <c r="L175" s="363"/>
      <c r="M175" s="363"/>
      <c r="N175" s="448"/>
    </row>
    <row r="176" spans="1:14" s="2715" customFormat="1" ht="13.5" customHeight="1">
      <c r="A176" s="362"/>
      <c r="B176" s="363"/>
      <c r="C176" s="363"/>
      <c r="D176" s="363"/>
      <c r="E176" s="363"/>
      <c r="F176" s="363"/>
      <c r="G176" s="363"/>
      <c r="H176" s="363"/>
      <c r="I176" s="363"/>
      <c r="J176" s="363"/>
      <c r="K176" s="363"/>
      <c r="L176" s="363"/>
      <c r="M176" s="363"/>
      <c r="N176" s="448"/>
    </row>
    <row r="177" spans="1:14" s="393" customFormat="1" ht="12.75" customHeight="1">
      <c r="A177" s="362"/>
      <c r="B177" s="363"/>
      <c r="C177" s="363"/>
      <c r="D177" s="363"/>
      <c r="E177" s="363"/>
      <c r="F177" s="363"/>
      <c r="G177" s="363"/>
      <c r="H177" s="363"/>
      <c r="I177" s="363"/>
      <c r="J177" s="363"/>
      <c r="K177" s="363"/>
      <c r="L177" s="363"/>
      <c r="M177" s="363"/>
      <c r="N177" s="448"/>
    </row>
    <row r="178" spans="1:14" s="393" customFormat="1" ht="12.75" customHeight="1">
      <c r="A178" s="362"/>
      <c r="B178" s="363"/>
      <c r="C178" s="363"/>
      <c r="D178" s="363"/>
      <c r="E178" s="363"/>
      <c r="F178" s="363"/>
      <c r="G178" s="363"/>
      <c r="H178" s="363"/>
      <c r="I178" s="363"/>
      <c r="J178" s="363"/>
      <c r="K178" s="363"/>
      <c r="L178" s="363"/>
      <c r="M178" s="363"/>
      <c r="N178" s="448"/>
    </row>
    <row r="179" spans="1:14" s="393" customFormat="1">
      <c r="A179" s="362"/>
      <c r="B179" s="363"/>
      <c r="C179" s="363"/>
      <c r="D179" s="363"/>
      <c r="E179" s="363"/>
      <c r="F179" s="363"/>
      <c r="G179" s="363"/>
      <c r="H179" s="363"/>
      <c r="I179" s="363"/>
      <c r="J179" s="363"/>
      <c r="K179" s="363"/>
      <c r="L179" s="363"/>
      <c r="M179" s="363"/>
      <c r="N179" s="448"/>
    </row>
    <row r="180" spans="1:14" s="393" customFormat="1">
      <c r="A180" s="362"/>
      <c r="B180" s="363"/>
      <c r="C180" s="363"/>
      <c r="D180" s="363"/>
      <c r="E180" s="363"/>
      <c r="F180" s="363"/>
      <c r="G180" s="363"/>
      <c r="H180" s="363"/>
      <c r="I180" s="363"/>
      <c r="J180" s="363"/>
      <c r="K180" s="363"/>
      <c r="L180" s="363"/>
      <c r="M180" s="363"/>
      <c r="N180" s="448"/>
    </row>
    <row r="181" spans="1:14" s="393" customFormat="1">
      <c r="A181" s="362"/>
      <c r="B181" s="363"/>
      <c r="C181" s="363"/>
      <c r="D181" s="363"/>
      <c r="E181" s="363"/>
      <c r="F181" s="363"/>
      <c r="G181" s="363"/>
      <c r="H181" s="363"/>
      <c r="I181" s="363"/>
      <c r="J181" s="363"/>
      <c r="K181" s="363"/>
      <c r="L181" s="363"/>
      <c r="M181" s="363"/>
      <c r="N181" s="448"/>
    </row>
    <row r="182" spans="1:14" s="2715" customFormat="1" ht="22.5" customHeight="1">
      <c r="A182" s="362"/>
      <c r="B182" s="363"/>
      <c r="C182" s="363"/>
      <c r="D182" s="363"/>
      <c r="E182" s="363"/>
      <c r="F182" s="363"/>
      <c r="G182" s="363"/>
      <c r="H182" s="363"/>
      <c r="I182" s="363"/>
      <c r="J182" s="363"/>
      <c r="K182" s="363"/>
      <c r="L182" s="363"/>
      <c r="M182" s="363"/>
      <c r="N182" s="448"/>
    </row>
    <row r="183" spans="1:14" s="393" customFormat="1" ht="12.75" customHeight="1">
      <c r="A183" s="362"/>
      <c r="B183" s="363"/>
      <c r="C183" s="363"/>
      <c r="D183" s="363"/>
      <c r="E183" s="363"/>
      <c r="F183" s="363"/>
      <c r="G183" s="363"/>
      <c r="H183" s="363"/>
      <c r="I183" s="363"/>
      <c r="J183" s="363"/>
      <c r="K183" s="363"/>
      <c r="L183" s="363"/>
      <c r="M183" s="363"/>
      <c r="N183" s="448"/>
    </row>
    <row r="184" spans="1:14" s="393" customFormat="1" ht="12.75" customHeight="1">
      <c r="A184" s="362"/>
      <c r="B184" s="363"/>
      <c r="C184" s="363"/>
      <c r="D184" s="363"/>
      <c r="E184" s="363"/>
      <c r="F184" s="363"/>
      <c r="G184" s="363"/>
      <c r="H184" s="363"/>
      <c r="I184" s="363"/>
      <c r="J184" s="363"/>
      <c r="K184" s="363"/>
      <c r="L184" s="363"/>
      <c r="M184" s="363"/>
      <c r="N184" s="448"/>
    </row>
    <row r="185" spans="1:14" s="393" customFormat="1">
      <c r="A185" s="362"/>
      <c r="B185" s="363"/>
      <c r="C185" s="363"/>
      <c r="D185" s="363"/>
      <c r="E185" s="363"/>
      <c r="F185" s="363"/>
      <c r="G185" s="363"/>
      <c r="H185" s="363"/>
      <c r="I185" s="363"/>
      <c r="J185" s="363"/>
      <c r="K185" s="363"/>
      <c r="L185" s="363"/>
      <c r="M185" s="363"/>
      <c r="N185" s="448"/>
    </row>
    <row r="186" spans="1:14" s="393" customFormat="1">
      <c r="A186" s="362"/>
      <c r="B186" s="363"/>
      <c r="C186" s="363"/>
      <c r="D186" s="363"/>
      <c r="E186" s="363"/>
      <c r="F186" s="363"/>
      <c r="G186" s="363"/>
      <c r="H186" s="363"/>
      <c r="I186" s="363"/>
      <c r="J186" s="363"/>
      <c r="K186" s="363"/>
      <c r="L186" s="363"/>
      <c r="M186" s="363"/>
      <c r="N186" s="448"/>
    </row>
    <row r="187" spans="1:14" s="2715" customFormat="1" ht="12.75" customHeight="1">
      <c r="A187" s="362"/>
      <c r="B187" s="363"/>
      <c r="C187" s="363"/>
      <c r="D187" s="363"/>
      <c r="E187" s="363"/>
      <c r="F187" s="363"/>
      <c r="G187" s="363"/>
      <c r="H187" s="363"/>
      <c r="I187" s="363"/>
      <c r="J187" s="363"/>
      <c r="K187" s="363"/>
      <c r="L187" s="363"/>
      <c r="M187" s="363"/>
      <c r="N187" s="448"/>
    </row>
    <row r="188" spans="1:14" s="393" customFormat="1" ht="9.75" customHeight="1">
      <c r="A188" s="362"/>
      <c r="B188" s="363"/>
      <c r="C188" s="363"/>
      <c r="D188" s="363"/>
      <c r="E188" s="363"/>
      <c r="F188" s="363"/>
      <c r="G188" s="363"/>
      <c r="H188" s="363"/>
      <c r="I188" s="363"/>
      <c r="J188" s="363"/>
      <c r="K188" s="363"/>
      <c r="L188" s="363"/>
      <c r="M188" s="363"/>
      <c r="N188" s="448"/>
    </row>
    <row r="189" spans="1:14" s="393" customFormat="1" ht="12.75" customHeight="1">
      <c r="A189" s="362"/>
      <c r="B189" s="363"/>
      <c r="C189" s="363"/>
      <c r="D189" s="363"/>
      <c r="E189" s="363"/>
      <c r="F189" s="363"/>
      <c r="G189" s="363"/>
      <c r="H189" s="363"/>
      <c r="I189" s="363"/>
      <c r="J189" s="363"/>
      <c r="K189" s="363"/>
      <c r="L189" s="363"/>
      <c r="M189" s="363"/>
      <c r="N189" s="448"/>
    </row>
    <row r="190" spans="1:14" s="393" customFormat="1">
      <c r="A190" s="362"/>
      <c r="B190" s="363"/>
      <c r="C190" s="363"/>
      <c r="D190" s="363"/>
      <c r="E190" s="363"/>
      <c r="F190" s="363"/>
      <c r="G190" s="363"/>
      <c r="H190" s="363"/>
      <c r="I190" s="363"/>
      <c r="J190" s="363"/>
      <c r="K190" s="363"/>
      <c r="L190" s="363"/>
      <c r="M190" s="363"/>
      <c r="N190" s="448"/>
    </row>
    <row r="191" spans="1:14" s="393" customFormat="1">
      <c r="A191" s="362"/>
      <c r="B191" s="363"/>
      <c r="C191" s="363"/>
      <c r="D191" s="363"/>
      <c r="E191" s="363"/>
      <c r="F191" s="363"/>
      <c r="G191" s="363"/>
      <c r="H191" s="363"/>
      <c r="I191" s="363"/>
      <c r="J191" s="363"/>
      <c r="K191" s="363"/>
      <c r="L191" s="363"/>
      <c r="M191" s="363"/>
      <c r="N191" s="448"/>
    </row>
    <row r="192" spans="1:14" s="2715" customFormat="1" ht="13.5" customHeight="1">
      <c r="A192" s="362"/>
      <c r="B192" s="363"/>
      <c r="C192" s="363"/>
      <c r="D192" s="363"/>
      <c r="E192" s="363"/>
      <c r="F192" s="363"/>
      <c r="G192" s="363"/>
      <c r="H192" s="363"/>
      <c r="I192" s="363"/>
      <c r="J192" s="363"/>
      <c r="K192" s="363"/>
      <c r="L192" s="363"/>
      <c r="M192" s="363"/>
      <c r="N192" s="448"/>
    </row>
    <row r="193" spans="1:14" s="393" customFormat="1" ht="9.75" customHeight="1">
      <c r="A193" s="362"/>
      <c r="B193" s="363"/>
      <c r="C193" s="363"/>
      <c r="D193" s="363"/>
      <c r="E193" s="363"/>
      <c r="F193" s="363"/>
      <c r="G193" s="363"/>
      <c r="H193" s="363"/>
      <c r="I193" s="363"/>
      <c r="J193" s="363"/>
      <c r="K193" s="363"/>
      <c r="L193" s="363"/>
      <c r="M193" s="363"/>
      <c r="N193" s="448"/>
    </row>
    <row r="194" spans="1:14" s="393" customFormat="1" ht="12.75" customHeight="1">
      <c r="A194" s="362"/>
      <c r="B194" s="363"/>
      <c r="C194" s="363"/>
      <c r="D194" s="363"/>
      <c r="E194" s="363"/>
      <c r="F194" s="363"/>
      <c r="G194" s="363"/>
      <c r="H194" s="363"/>
      <c r="I194" s="363"/>
      <c r="J194" s="363"/>
      <c r="K194" s="363"/>
      <c r="L194" s="363"/>
      <c r="M194" s="363"/>
      <c r="N194" s="448"/>
    </row>
    <row r="195" spans="1:14" s="393" customFormat="1">
      <c r="A195" s="362"/>
      <c r="B195" s="363"/>
      <c r="C195" s="363"/>
      <c r="D195" s="363"/>
      <c r="E195" s="363"/>
      <c r="F195" s="363"/>
      <c r="G195" s="363"/>
      <c r="H195" s="363"/>
      <c r="I195" s="363"/>
      <c r="J195" s="363"/>
      <c r="K195" s="363"/>
      <c r="L195" s="363"/>
      <c r="M195" s="363"/>
      <c r="N195" s="448"/>
    </row>
    <row r="196" spans="1:14" s="393" customFormat="1">
      <c r="A196" s="362"/>
      <c r="B196" s="363"/>
      <c r="C196" s="363"/>
      <c r="D196" s="363"/>
      <c r="E196" s="363"/>
      <c r="F196" s="363"/>
      <c r="G196" s="363"/>
      <c r="H196" s="363"/>
      <c r="I196" s="363"/>
      <c r="J196" s="363"/>
      <c r="K196" s="363"/>
      <c r="L196" s="363"/>
      <c r="M196" s="363"/>
      <c r="N196" s="448"/>
    </row>
    <row r="197" spans="1:14" s="393" customFormat="1">
      <c r="A197" s="362"/>
      <c r="B197" s="363"/>
      <c r="C197" s="363"/>
      <c r="D197" s="363"/>
      <c r="E197" s="363"/>
      <c r="F197" s="363"/>
      <c r="G197" s="363"/>
      <c r="H197" s="363"/>
      <c r="I197" s="363"/>
      <c r="J197" s="363"/>
      <c r="K197" s="363"/>
      <c r="L197" s="363"/>
      <c r="M197" s="363"/>
      <c r="N197" s="448"/>
    </row>
    <row r="198" spans="1:14" s="393" customFormat="1">
      <c r="A198" s="362"/>
      <c r="B198" s="363"/>
      <c r="C198" s="363"/>
      <c r="D198" s="363"/>
      <c r="E198" s="363"/>
      <c r="F198" s="363"/>
      <c r="G198" s="363"/>
      <c r="H198" s="363"/>
      <c r="I198" s="363"/>
      <c r="J198" s="363"/>
      <c r="K198" s="363"/>
      <c r="L198" s="363"/>
      <c r="M198" s="363"/>
      <c r="N198" s="448"/>
    </row>
    <row r="199" spans="1:14" s="393" customFormat="1">
      <c r="A199" s="362"/>
      <c r="B199" s="363"/>
      <c r="C199" s="363"/>
      <c r="D199" s="363"/>
      <c r="E199" s="363"/>
      <c r="F199" s="363"/>
      <c r="G199" s="363"/>
      <c r="H199" s="363"/>
      <c r="I199" s="363"/>
      <c r="J199" s="363"/>
      <c r="K199" s="363"/>
      <c r="L199" s="363"/>
      <c r="M199" s="363"/>
      <c r="N199" s="448"/>
    </row>
    <row r="200" spans="1:14" s="2715" customFormat="1" ht="22.5" customHeight="1">
      <c r="A200" s="362"/>
      <c r="B200" s="363"/>
      <c r="C200" s="363"/>
      <c r="D200" s="363"/>
      <c r="E200" s="363"/>
      <c r="F200" s="363"/>
      <c r="G200" s="363"/>
      <c r="H200" s="363"/>
      <c r="I200" s="363"/>
      <c r="J200" s="363"/>
      <c r="K200" s="363"/>
      <c r="L200" s="363"/>
      <c r="M200" s="363"/>
      <c r="N200" s="448"/>
    </row>
    <row r="201" spans="1:14" s="393" customFormat="1" ht="12.75" customHeight="1">
      <c r="A201" s="362"/>
      <c r="B201" s="363"/>
      <c r="C201" s="363"/>
      <c r="D201" s="363"/>
      <c r="E201" s="363"/>
      <c r="F201" s="363"/>
      <c r="G201" s="363"/>
      <c r="H201" s="363"/>
      <c r="I201" s="363"/>
      <c r="J201" s="363"/>
      <c r="K201" s="363"/>
      <c r="L201" s="363"/>
      <c r="M201" s="363"/>
      <c r="N201" s="448"/>
    </row>
    <row r="202" spans="1:14" s="393" customFormat="1" ht="12.75" customHeight="1">
      <c r="A202" s="362"/>
      <c r="B202" s="363"/>
      <c r="C202" s="363"/>
      <c r="D202" s="363"/>
      <c r="E202" s="363"/>
      <c r="F202" s="363"/>
      <c r="G202" s="363"/>
      <c r="H202" s="363"/>
      <c r="I202" s="363"/>
      <c r="J202" s="363"/>
      <c r="K202" s="363"/>
      <c r="L202" s="363"/>
      <c r="M202" s="363"/>
      <c r="N202" s="448"/>
    </row>
    <row r="203" spans="1:14" s="393" customFormat="1">
      <c r="A203" s="362"/>
      <c r="B203" s="363"/>
      <c r="C203" s="363"/>
      <c r="D203" s="363"/>
      <c r="E203" s="363"/>
      <c r="F203" s="363"/>
      <c r="G203" s="363"/>
      <c r="H203" s="363"/>
      <c r="I203" s="363"/>
      <c r="J203" s="363"/>
      <c r="K203" s="363"/>
      <c r="L203" s="363"/>
      <c r="M203" s="363"/>
      <c r="N203" s="448"/>
    </row>
    <row r="204" spans="1:14" s="393" customFormat="1">
      <c r="A204" s="362"/>
      <c r="B204" s="363"/>
      <c r="C204" s="363"/>
      <c r="D204" s="363"/>
      <c r="E204" s="363"/>
      <c r="F204" s="363"/>
      <c r="G204" s="363"/>
      <c r="H204" s="363"/>
      <c r="I204" s="363"/>
      <c r="J204" s="363"/>
      <c r="K204" s="363"/>
      <c r="L204" s="363"/>
      <c r="M204" s="363"/>
      <c r="N204" s="448"/>
    </row>
    <row r="205" spans="1:14" s="2715" customFormat="1" ht="34.5" customHeight="1">
      <c r="A205" s="362"/>
      <c r="B205" s="363"/>
      <c r="C205" s="363"/>
      <c r="D205" s="363"/>
      <c r="E205" s="363"/>
      <c r="F205" s="363"/>
      <c r="G205" s="363"/>
      <c r="H205" s="363"/>
      <c r="I205" s="363"/>
      <c r="J205" s="363"/>
      <c r="K205" s="363"/>
      <c r="L205" s="363"/>
      <c r="M205" s="363"/>
      <c r="N205" s="448"/>
    </row>
    <row r="206" spans="1:14" s="393" customFormat="1" ht="14.25" customHeight="1">
      <c r="A206" s="362"/>
      <c r="B206" s="363"/>
      <c r="C206" s="363"/>
      <c r="D206" s="363"/>
      <c r="E206" s="363"/>
      <c r="F206" s="363"/>
      <c r="G206" s="363"/>
      <c r="H206" s="363"/>
      <c r="I206" s="363"/>
      <c r="J206" s="363"/>
      <c r="K206" s="363"/>
      <c r="L206" s="363"/>
      <c r="M206" s="363"/>
      <c r="N206" s="448"/>
    </row>
    <row r="207" spans="1:14" s="393" customFormat="1" ht="12.75" customHeight="1">
      <c r="A207" s="362"/>
      <c r="B207" s="363"/>
      <c r="C207" s="363"/>
      <c r="D207" s="363"/>
      <c r="E207" s="363"/>
      <c r="F207" s="363"/>
      <c r="G207" s="363"/>
      <c r="H207" s="363"/>
      <c r="I207" s="363"/>
      <c r="J207" s="363"/>
      <c r="K207" s="363"/>
      <c r="L207" s="363"/>
      <c r="M207" s="363"/>
      <c r="N207" s="448"/>
    </row>
    <row r="208" spans="1:14" s="393" customFormat="1">
      <c r="A208" s="362"/>
      <c r="B208" s="363"/>
      <c r="C208" s="363"/>
      <c r="D208" s="363"/>
      <c r="E208" s="363"/>
      <c r="F208" s="363"/>
      <c r="G208" s="363"/>
      <c r="H208" s="363"/>
      <c r="I208" s="363"/>
      <c r="J208" s="363"/>
      <c r="K208" s="363"/>
      <c r="L208" s="363"/>
      <c r="M208" s="363"/>
      <c r="N208" s="448"/>
    </row>
    <row r="209" spans="1:14" s="393" customFormat="1">
      <c r="A209" s="362"/>
      <c r="B209" s="363"/>
      <c r="C209" s="363"/>
      <c r="D209" s="363"/>
      <c r="E209" s="363"/>
      <c r="F209" s="363"/>
      <c r="G209" s="363"/>
      <c r="H209" s="363"/>
      <c r="I209" s="363"/>
      <c r="J209" s="363"/>
      <c r="K209" s="363"/>
      <c r="L209" s="363"/>
      <c r="M209" s="363"/>
      <c r="N209" s="448"/>
    </row>
    <row r="210" spans="1:14" s="393" customFormat="1">
      <c r="A210" s="362"/>
      <c r="B210" s="363"/>
      <c r="C210" s="363"/>
      <c r="D210" s="363"/>
      <c r="E210" s="363"/>
      <c r="F210" s="363"/>
      <c r="G210" s="363"/>
      <c r="H210" s="363"/>
      <c r="I210" s="363"/>
      <c r="J210" s="363"/>
      <c r="K210" s="363"/>
      <c r="L210" s="363"/>
      <c r="M210" s="363"/>
      <c r="N210" s="448"/>
    </row>
    <row r="211" spans="1:14" s="2715" customFormat="1" ht="36.75" customHeight="1">
      <c r="A211" s="362"/>
      <c r="B211" s="363"/>
      <c r="C211" s="363"/>
      <c r="D211" s="363"/>
      <c r="E211" s="363"/>
      <c r="F211" s="363"/>
      <c r="G211" s="363"/>
      <c r="H211" s="363"/>
      <c r="I211" s="363"/>
      <c r="J211" s="363"/>
      <c r="K211" s="363"/>
      <c r="L211" s="363"/>
      <c r="M211" s="363"/>
      <c r="N211" s="448"/>
    </row>
    <row r="212" spans="1:14" s="393" customFormat="1" ht="9.75" customHeight="1">
      <c r="A212" s="362"/>
      <c r="B212" s="363"/>
      <c r="C212" s="363"/>
      <c r="D212" s="363"/>
      <c r="E212" s="363"/>
      <c r="F212" s="363"/>
      <c r="G212" s="363"/>
      <c r="H212" s="363"/>
      <c r="I212" s="363"/>
      <c r="J212" s="363"/>
      <c r="K212" s="363"/>
      <c r="L212" s="363"/>
      <c r="M212" s="363"/>
      <c r="N212" s="448"/>
    </row>
    <row r="213" spans="1:14" s="393" customFormat="1" ht="12.75" customHeight="1">
      <c r="A213" s="362"/>
      <c r="B213" s="363"/>
      <c r="C213" s="363"/>
      <c r="D213" s="363"/>
      <c r="E213" s="363"/>
      <c r="F213" s="363"/>
      <c r="G213" s="363"/>
      <c r="H213" s="363"/>
      <c r="I213" s="363"/>
      <c r="J213" s="363"/>
      <c r="K213" s="363"/>
      <c r="L213" s="363"/>
      <c r="M213" s="363"/>
      <c r="N213" s="448"/>
    </row>
    <row r="214" spans="1:14" s="393" customFormat="1">
      <c r="A214" s="362"/>
      <c r="B214" s="363"/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448"/>
    </row>
    <row r="215" spans="1:14" s="393" customFormat="1">
      <c r="A215" s="362"/>
      <c r="B215" s="363"/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448"/>
    </row>
    <row r="216" spans="1:14" s="393" customFormat="1">
      <c r="A216" s="362"/>
      <c r="B216" s="363"/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448"/>
    </row>
    <row r="217" spans="1:14" s="2715" customFormat="1" ht="33.75" customHeight="1">
      <c r="A217" s="362"/>
      <c r="B217" s="363"/>
      <c r="C217" s="363"/>
      <c r="D217" s="363"/>
      <c r="E217" s="363"/>
      <c r="F217" s="363"/>
      <c r="G217" s="363"/>
      <c r="H217" s="363"/>
      <c r="I217" s="363"/>
      <c r="J217" s="363"/>
      <c r="K217" s="363"/>
      <c r="L217" s="363"/>
      <c r="M217" s="363"/>
      <c r="N217" s="448"/>
    </row>
    <row r="218" spans="1:14" s="393" customFormat="1" ht="9.75" customHeight="1">
      <c r="A218" s="362"/>
      <c r="B218" s="363"/>
      <c r="C218" s="363"/>
      <c r="D218" s="363"/>
      <c r="E218" s="363"/>
      <c r="F218" s="363"/>
      <c r="G218" s="363"/>
      <c r="H218" s="363"/>
      <c r="I218" s="363"/>
      <c r="J218" s="363"/>
      <c r="K218" s="363"/>
      <c r="L218" s="363"/>
      <c r="M218" s="363"/>
      <c r="N218" s="448"/>
    </row>
    <row r="219" spans="1:14" s="393" customFormat="1" ht="12.75" customHeight="1">
      <c r="A219" s="362"/>
      <c r="B219" s="363"/>
      <c r="C219" s="363"/>
      <c r="D219" s="363"/>
      <c r="E219" s="363"/>
      <c r="F219" s="363"/>
      <c r="G219" s="363"/>
      <c r="H219" s="363"/>
      <c r="I219" s="363"/>
      <c r="J219" s="363"/>
      <c r="K219" s="363"/>
      <c r="L219" s="363"/>
      <c r="M219" s="363"/>
      <c r="N219" s="448"/>
    </row>
    <row r="220" spans="1:14" s="393" customFormat="1">
      <c r="A220" s="362"/>
      <c r="B220" s="363"/>
      <c r="C220" s="363"/>
      <c r="D220" s="363"/>
      <c r="E220" s="363"/>
      <c r="F220" s="363"/>
      <c r="G220" s="363"/>
      <c r="H220" s="363"/>
      <c r="I220" s="363"/>
      <c r="J220" s="363"/>
      <c r="K220" s="363"/>
      <c r="L220" s="363"/>
      <c r="M220" s="363"/>
      <c r="N220" s="448"/>
    </row>
    <row r="221" spans="1:14" s="393" customFormat="1">
      <c r="A221" s="362"/>
      <c r="B221" s="363"/>
      <c r="C221" s="363"/>
      <c r="D221" s="363"/>
      <c r="E221" s="363"/>
      <c r="F221" s="363"/>
      <c r="G221" s="363"/>
      <c r="H221" s="363"/>
      <c r="I221" s="363"/>
      <c r="J221" s="363"/>
      <c r="K221" s="363"/>
      <c r="L221" s="363"/>
      <c r="M221" s="363"/>
      <c r="N221" s="448"/>
    </row>
    <row r="222" spans="1:14" s="393" customFormat="1">
      <c r="A222" s="362"/>
      <c r="B222" s="363"/>
      <c r="C222" s="363"/>
      <c r="D222" s="363"/>
      <c r="E222" s="363"/>
      <c r="F222" s="363"/>
      <c r="G222" s="363"/>
      <c r="H222" s="363"/>
      <c r="I222" s="363"/>
      <c r="J222" s="363"/>
      <c r="K222" s="363"/>
      <c r="L222" s="363"/>
      <c r="M222" s="363"/>
      <c r="N222" s="448"/>
    </row>
    <row r="223" spans="1:14" s="393" customFormat="1">
      <c r="A223" s="362"/>
      <c r="B223" s="363"/>
      <c r="C223" s="363"/>
      <c r="D223" s="363"/>
      <c r="E223" s="363"/>
      <c r="F223" s="363"/>
      <c r="G223" s="363"/>
      <c r="H223" s="363"/>
      <c r="I223" s="363"/>
      <c r="J223" s="363"/>
      <c r="K223" s="363"/>
      <c r="L223" s="363"/>
      <c r="M223" s="363"/>
      <c r="N223" s="448"/>
    </row>
    <row r="224" spans="1:14" s="2718" customFormat="1" ht="14.25" customHeight="1">
      <c r="A224" s="362"/>
      <c r="B224" s="363"/>
      <c r="C224" s="363"/>
      <c r="D224" s="363"/>
      <c r="E224" s="363"/>
      <c r="F224" s="363"/>
      <c r="G224" s="363"/>
      <c r="H224" s="363"/>
      <c r="I224" s="363"/>
      <c r="J224" s="363"/>
      <c r="K224" s="363"/>
      <c r="L224" s="363"/>
      <c r="M224" s="363"/>
      <c r="N224" s="448"/>
    </row>
    <row r="225" spans="1:14" s="393" customFormat="1">
      <c r="A225" s="362"/>
      <c r="B225" s="363"/>
      <c r="C225" s="363"/>
      <c r="D225" s="363"/>
      <c r="E225" s="363"/>
      <c r="F225" s="363"/>
      <c r="G225" s="363"/>
      <c r="H225" s="363"/>
      <c r="I225" s="363"/>
      <c r="J225" s="363"/>
      <c r="K225" s="363"/>
      <c r="L225" s="363"/>
      <c r="M225" s="363"/>
      <c r="N225" s="448"/>
    </row>
    <row r="226" spans="1:14" s="2708" customFormat="1" ht="23.25" customHeight="1">
      <c r="A226" s="362"/>
      <c r="B226" s="363"/>
      <c r="C226" s="363"/>
      <c r="D226" s="363"/>
      <c r="E226" s="363"/>
      <c r="F226" s="363"/>
      <c r="G226" s="363"/>
      <c r="H226" s="363"/>
      <c r="I226" s="363"/>
      <c r="J226" s="363"/>
      <c r="K226" s="363"/>
      <c r="L226" s="363"/>
      <c r="M226" s="363"/>
      <c r="N226" s="448"/>
    </row>
    <row r="227" spans="1:14" s="393" customFormat="1">
      <c r="A227" s="362"/>
      <c r="B227" s="363"/>
      <c r="C227" s="363"/>
      <c r="D227" s="363"/>
      <c r="E227" s="363"/>
      <c r="F227" s="363"/>
      <c r="G227" s="363"/>
      <c r="H227" s="363"/>
      <c r="I227" s="363"/>
      <c r="J227" s="363"/>
      <c r="K227" s="363"/>
      <c r="L227" s="363"/>
      <c r="M227" s="363"/>
      <c r="N227" s="448"/>
    </row>
    <row r="228" spans="1:14" s="2707" customFormat="1" ht="15.75" customHeight="1">
      <c r="A228" s="362"/>
      <c r="B228" s="363"/>
      <c r="C228" s="363"/>
      <c r="D228" s="363"/>
      <c r="E228" s="363"/>
      <c r="F228" s="363"/>
      <c r="G228" s="363"/>
      <c r="H228" s="363"/>
      <c r="I228" s="363"/>
      <c r="J228" s="363"/>
      <c r="K228" s="363"/>
      <c r="L228" s="363"/>
      <c r="M228" s="363"/>
      <c r="N228" s="448"/>
    </row>
    <row r="229" spans="1:14" s="2707" customFormat="1" ht="12.75" customHeight="1">
      <c r="A229" s="362"/>
      <c r="B229" s="363"/>
      <c r="C229" s="363"/>
      <c r="D229" s="363"/>
      <c r="E229" s="363"/>
      <c r="F229" s="363"/>
      <c r="G229" s="363"/>
      <c r="H229" s="363"/>
      <c r="I229" s="363"/>
      <c r="J229" s="363"/>
      <c r="K229" s="363"/>
      <c r="L229" s="363"/>
      <c r="M229" s="363"/>
      <c r="N229" s="448"/>
    </row>
    <row r="230" spans="1:14" s="2707" customFormat="1" ht="12.75" customHeight="1">
      <c r="A230" s="362"/>
      <c r="B230" s="363"/>
      <c r="C230" s="363"/>
      <c r="D230" s="363"/>
      <c r="E230" s="363"/>
      <c r="F230" s="363"/>
      <c r="G230" s="363"/>
      <c r="H230" s="363"/>
      <c r="I230" s="363"/>
      <c r="J230" s="363"/>
      <c r="K230" s="363"/>
      <c r="L230" s="363"/>
      <c r="M230" s="363"/>
      <c r="N230" s="448"/>
    </row>
    <row r="231" spans="1:14" s="2707" customFormat="1" ht="12" customHeight="1">
      <c r="A231" s="362"/>
      <c r="B231" s="363"/>
      <c r="C231" s="363"/>
      <c r="D231" s="363"/>
      <c r="E231" s="363"/>
      <c r="F231" s="363"/>
      <c r="G231" s="363"/>
      <c r="H231" s="363"/>
      <c r="I231" s="363"/>
      <c r="J231" s="363"/>
      <c r="K231" s="363"/>
      <c r="L231" s="363"/>
      <c r="M231" s="363"/>
      <c r="N231" s="448"/>
    </row>
    <row r="232" spans="1:14" s="2718" customFormat="1" ht="24" customHeight="1">
      <c r="A232" s="362"/>
      <c r="B232" s="363"/>
      <c r="C232" s="363"/>
      <c r="D232" s="363"/>
      <c r="E232" s="363"/>
      <c r="F232" s="363"/>
      <c r="G232" s="363"/>
      <c r="H232" s="363"/>
      <c r="I232" s="363"/>
      <c r="J232" s="363"/>
      <c r="K232" s="363"/>
      <c r="L232" s="363"/>
      <c r="M232" s="363"/>
      <c r="N232" s="448"/>
    </row>
    <row r="233" spans="1:14" s="393" customFormat="1" ht="11.25" customHeight="1">
      <c r="A233" s="362"/>
      <c r="B233" s="363"/>
      <c r="C233" s="363"/>
      <c r="D233" s="363"/>
      <c r="E233" s="363"/>
      <c r="F233" s="363"/>
      <c r="G233" s="363"/>
      <c r="H233" s="363"/>
      <c r="I233" s="363"/>
      <c r="J233" s="363"/>
      <c r="K233" s="363"/>
      <c r="L233" s="363"/>
      <c r="M233" s="363"/>
      <c r="N233" s="448"/>
    </row>
    <row r="234" spans="1:14" s="393" customFormat="1" ht="12.75" customHeight="1">
      <c r="A234" s="362"/>
      <c r="B234" s="363"/>
      <c r="C234" s="363"/>
      <c r="D234" s="363"/>
      <c r="E234" s="363"/>
      <c r="F234" s="363"/>
      <c r="G234" s="363"/>
      <c r="H234" s="363"/>
      <c r="I234" s="363"/>
      <c r="J234" s="363"/>
      <c r="K234" s="363"/>
      <c r="L234" s="363"/>
      <c r="M234" s="363"/>
      <c r="N234" s="448"/>
    </row>
    <row r="235" spans="1:14" s="393" customFormat="1">
      <c r="A235" s="362"/>
      <c r="B235" s="363"/>
      <c r="C235" s="363"/>
      <c r="D235" s="363"/>
      <c r="E235" s="363"/>
      <c r="F235" s="363"/>
      <c r="G235" s="363"/>
      <c r="H235" s="363"/>
      <c r="I235" s="363"/>
      <c r="J235" s="363"/>
      <c r="K235" s="363"/>
      <c r="L235" s="363"/>
      <c r="M235" s="363"/>
      <c r="N235" s="448"/>
    </row>
    <row r="236" spans="1:14" s="393" customFormat="1">
      <c r="A236" s="362"/>
      <c r="B236" s="363"/>
      <c r="C236" s="363"/>
      <c r="D236" s="363"/>
      <c r="E236" s="363"/>
      <c r="F236" s="363"/>
      <c r="G236" s="363"/>
      <c r="H236" s="363"/>
      <c r="I236" s="363"/>
      <c r="J236" s="363"/>
      <c r="K236" s="363"/>
      <c r="L236" s="363"/>
      <c r="M236" s="363"/>
      <c r="N236" s="448"/>
    </row>
    <row r="237" spans="1:14" s="393" customFormat="1">
      <c r="A237" s="362"/>
      <c r="B237" s="363"/>
      <c r="C237" s="363"/>
      <c r="D237" s="363"/>
      <c r="E237" s="363"/>
      <c r="F237" s="363"/>
      <c r="G237" s="363"/>
      <c r="H237" s="363"/>
      <c r="I237" s="363"/>
      <c r="J237" s="363"/>
      <c r="K237" s="363"/>
      <c r="L237" s="363"/>
      <c r="M237" s="363"/>
      <c r="N237" s="448"/>
    </row>
    <row r="238" spans="1:14" s="393" customFormat="1">
      <c r="A238" s="362"/>
      <c r="B238" s="363"/>
      <c r="C238" s="363"/>
      <c r="D238" s="363"/>
      <c r="E238" s="363"/>
      <c r="F238" s="363"/>
      <c r="G238" s="363"/>
      <c r="H238" s="363"/>
      <c r="I238" s="363"/>
      <c r="J238" s="363"/>
      <c r="K238" s="363"/>
      <c r="L238" s="363"/>
      <c r="M238" s="363"/>
      <c r="N238" s="448"/>
    </row>
    <row r="239" spans="1:14" s="393" customFormat="1" ht="21.75" customHeight="1">
      <c r="A239" s="362"/>
      <c r="B239" s="363"/>
      <c r="C239" s="363"/>
      <c r="D239" s="363"/>
      <c r="E239" s="363"/>
      <c r="F239" s="363"/>
      <c r="G239" s="363"/>
      <c r="H239" s="363"/>
      <c r="I239" s="363"/>
      <c r="J239" s="363"/>
      <c r="K239" s="363"/>
      <c r="L239" s="363"/>
      <c r="M239" s="363"/>
      <c r="N239" s="448"/>
    </row>
    <row r="240" spans="1:14" s="393" customFormat="1" ht="12.75" customHeight="1">
      <c r="A240" s="362"/>
      <c r="B240" s="363"/>
      <c r="C240" s="363"/>
      <c r="D240" s="363"/>
      <c r="E240" s="363"/>
      <c r="F240" s="363"/>
      <c r="G240" s="363"/>
      <c r="H240" s="363"/>
      <c r="I240" s="363"/>
      <c r="J240" s="363"/>
      <c r="K240" s="363"/>
      <c r="L240" s="363"/>
      <c r="M240" s="363"/>
      <c r="N240" s="448"/>
    </row>
    <row r="241" spans="1:14" s="393" customFormat="1">
      <c r="A241" s="362"/>
      <c r="B241" s="363"/>
      <c r="C241" s="363"/>
      <c r="D241" s="363"/>
      <c r="E241" s="363"/>
      <c r="F241" s="363"/>
      <c r="G241" s="363"/>
      <c r="H241" s="363"/>
      <c r="I241" s="363"/>
      <c r="J241" s="363"/>
      <c r="K241" s="363"/>
      <c r="L241" s="363"/>
      <c r="M241" s="363"/>
      <c r="N241" s="448"/>
    </row>
    <row r="242" spans="1:14" s="393" customFormat="1">
      <c r="A242" s="362"/>
      <c r="B242" s="363"/>
      <c r="C242" s="363"/>
      <c r="D242" s="363"/>
      <c r="E242" s="363"/>
      <c r="F242" s="363"/>
      <c r="G242" s="363"/>
      <c r="H242" s="363"/>
      <c r="I242" s="363"/>
      <c r="J242" s="363"/>
      <c r="K242" s="363"/>
      <c r="L242" s="363"/>
      <c r="M242" s="363"/>
      <c r="N242" s="448"/>
    </row>
    <row r="243" spans="1:14" s="393" customFormat="1">
      <c r="A243" s="362"/>
      <c r="B243" s="363"/>
      <c r="C243" s="363"/>
      <c r="D243" s="363"/>
      <c r="E243" s="363"/>
      <c r="F243" s="363"/>
      <c r="G243" s="363"/>
      <c r="H243" s="363"/>
      <c r="I243" s="363"/>
      <c r="J243" s="363"/>
      <c r="K243" s="363"/>
      <c r="L243" s="363"/>
      <c r="M243" s="363"/>
      <c r="N243" s="448"/>
    </row>
    <row r="244" spans="1:14" s="393" customFormat="1">
      <c r="A244" s="362"/>
      <c r="B244" s="363"/>
      <c r="C244" s="363"/>
      <c r="D244" s="363"/>
      <c r="E244" s="363"/>
      <c r="F244" s="363"/>
      <c r="G244" s="363"/>
      <c r="H244" s="363"/>
      <c r="I244" s="363"/>
      <c r="J244" s="363"/>
      <c r="K244" s="363"/>
      <c r="L244" s="363"/>
      <c r="M244" s="363"/>
      <c r="N244" s="448"/>
    </row>
    <row r="245" spans="1:14" s="393" customFormat="1">
      <c r="A245" s="362"/>
      <c r="B245" s="363"/>
      <c r="C245" s="363"/>
      <c r="D245" s="363"/>
      <c r="E245" s="363"/>
      <c r="F245" s="363"/>
      <c r="G245" s="363"/>
      <c r="H245" s="363"/>
      <c r="I245" s="363"/>
      <c r="J245" s="363"/>
      <c r="K245" s="363"/>
      <c r="L245" s="363"/>
      <c r="M245" s="363"/>
      <c r="N245" s="448"/>
    </row>
    <row r="246" spans="1:14" s="393" customFormat="1" ht="32.25" customHeight="1">
      <c r="A246" s="362"/>
      <c r="B246" s="363"/>
      <c r="C246" s="363"/>
      <c r="D246" s="363"/>
      <c r="E246" s="363"/>
      <c r="F246" s="363"/>
      <c r="G246" s="363"/>
      <c r="H246" s="363"/>
      <c r="I246" s="363"/>
      <c r="J246" s="363"/>
      <c r="K246" s="363"/>
      <c r="L246" s="363"/>
      <c r="M246" s="363"/>
      <c r="N246" s="448"/>
    </row>
    <row r="247" spans="1:14" s="393" customFormat="1" ht="15" customHeight="1">
      <c r="A247" s="362"/>
      <c r="B247" s="363"/>
      <c r="C247" s="363"/>
      <c r="D247" s="363"/>
      <c r="E247" s="363"/>
      <c r="F247" s="363"/>
      <c r="G247" s="363"/>
      <c r="H247" s="363"/>
      <c r="I247" s="363"/>
      <c r="J247" s="363"/>
      <c r="K247" s="363"/>
      <c r="L247" s="363"/>
      <c r="M247" s="363"/>
      <c r="N247" s="448"/>
    </row>
    <row r="248" spans="1:14" s="393" customFormat="1" ht="12.75" customHeight="1">
      <c r="A248" s="362"/>
      <c r="B248" s="363"/>
      <c r="C248" s="363"/>
      <c r="D248" s="363"/>
      <c r="E248" s="363"/>
      <c r="F248" s="363"/>
      <c r="G248" s="363"/>
      <c r="H248" s="363"/>
      <c r="I248" s="363"/>
      <c r="J248" s="363"/>
      <c r="K248" s="363"/>
      <c r="L248" s="363"/>
      <c r="M248" s="363"/>
      <c r="N248" s="448"/>
    </row>
    <row r="249" spans="1:14" s="393" customFormat="1">
      <c r="A249" s="362"/>
      <c r="B249" s="363"/>
      <c r="C249" s="363"/>
      <c r="D249" s="363"/>
      <c r="E249" s="363"/>
      <c r="F249" s="363"/>
      <c r="G249" s="363"/>
      <c r="H249" s="363"/>
      <c r="I249" s="363"/>
      <c r="J249" s="363"/>
      <c r="K249" s="363"/>
      <c r="L249" s="363"/>
      <c r="M249" s="363"/>
      <c r="N249" s="448"/>
    </row>
    <row r="250" spans="1:14" s="393" customFormat="1">
      <c r="A250" s="362"/>
      <c r="B250" s="363"/>
      <c r="C250" s="363"/>
      <c r="D250" s="363"/>
      <c r="E250" s="363"/>
      <c r="F250" s="363"/>
      <c r="G250" s="363"/>
      <c r="H250" s="363"/>
      <c r="I250" s="363"/>
      <c r="J250" s="363"/>
      <c r="K250" s="363"/>
      <c r="L250" s="363"/>
      <c r="M250" s="363"/>
      <c r="N250" s="448"/>
    </row>
    <row r="251" spans="1:14" s="393" customFormat="1">
      <c r="A251" s="362"/>
      <c r="B251" s="363"/>
      <c r="C251" s="363"/>
      <c r="D251" s="363"/>
      <c r="E251" s="363"/>
      <c r="F251" s="363"/>
      <c r="G251" s="363"/>
      <c r="H251" s="363"/>
      <c r="I251" s="363"/>
      <c r="J251" s="363"/>
      <c r="K251" s="363"/>
      <c r="L251" s="363"/>
      <c r="M251" s="363"/>
      <c r="N251" s="448"/>
    </row>
    <row r="252" spans="1:14" s="393" customFormat="1" ht="11.25" customHeight="1">
      <c r="A252" s="362"/>
      <c r="B252" s="363"/>
      <c r="C252" s="363"/>
      <c r="D252" s="363"/>
      <c r="E252" s="363"/>
      <c r="F252" s="363"/>
      <c r="G252" s="363"/>
      <c r="H252" s="363"/>
      <c r="I252" s="363"/>
      <c r="J252" s="363"/>
      <c r="K252" s="363"/>
      <c r="L252" s="363"/>
      <c r="M252" s="363"/>
      <c r="N252" s="448"/>
    </row>
    <row r="253" spans="1:14" s="393" customFormat="1" ht="12.75" customHeight="1">
      <c r="A253" s="362"/>
      <c r="B253" s="363"/>
      <c r="C253" s="363"/>
      <c r="D253" s="363"/>
      <c r="E253" s="363"/>
      <c r="F253" s="363"/>
      <c r="G253" s="363"/>
      <c r="H253" s="363"/>
      <c r="I253" s="363"/>
      <c r="J253" s="363"/>
      <c r="K253" s="363"/>
      <c r="L253" s="363"/>
      <c r="M253" s="363"/>
      <c r="N253" s="448"/>
    </row>
    <row r="254" spans="1:14" s="393" customFormat="1" ht="12.75" customHeight="1">
      <c r="A254" s="362"/>
      <c r="B254" s="363"/>
      <c r="C254" s="363"/>
      <c r="D254" s="363"/>
      <c r="E254" s="363"/>
      <c r="F254" s="363"/>
      <c r="G254" s="363"/>
      <c r="H254" s="363"/>
      <c r="I254" s="363"/>
      <c r="J254" s="363"/>
      <c r="K254" s="363"/>
      <c r="L254" s="363"/>
      <c r="M254" s="363"/>
      <c r="N254" s="448"/>
    </row>
    <row r="255" spans="1:14" s="393" customFormat="1">
      <c r="A255" s="362"/>
      <c r="B255" s="363"/>
      <c r="C255" s="363"/>
      <c r="D255" s="363"/>
      <c r="E255" s="363"/>
      <c r="F255" s="363"/>
      <c r="G255" s="363"/>
      <c r="H255" s="363"/>
      <c r="I255" s="363"/>
      <c r="J255" s="363"/>
      <c r="K255" s="363"/>
      <c r="L255" s="363"/>
      <c r="M255" s="363"/>
      <c r="N255" s="448"/>
    </row>
    <row r="256" spans="1:14" s="393" customFormat="1">
      <c r="A256" s="362"/>
      <c r="B256" s="363"/>
      <c r="C256" s="363"/>
      <c r="D256" s="363"/>
      <c r="E256" s="363"/>
      <c r="F256" s="363"/>
      <c r="G256" s="363"/>
      <c r="H256" s="363"/>
      <c r="I256" s="363"/>
      <c r="J256" s="363"/>
      <c r="K256" s="363"/>
      <c r="L256" s="363"/>
      <c r="M256" s="363"/>
      <c r="N256" s="448"/>
    </row>
    <row r="257" spans="1:14" s="393" customFormat="1">
      <c r="A257" s="362"/>
      <c r="B257" s="363"/>
      <c r="C257" s="363"/>
      <c r="D257" s="363"/>
      <c r="E257" s="363"/>
      <c r="F257" s="363"/>
      <c r="G257" s="363"/>
      <c r="H257" s="363"/>
      <c r="I257" s="363"/>
      <c r="J257" s="363"/>
      <c r="K257" s="363"/>
      <c r="L257" s="363"/>
      <c r="M257" s="363"/>
      <c r="N257" s="448"/>
    </row>
    <row r="258" spans="1:14" s="393" customFormat="1">
      <c r="A258" s="362"/>
      <c r="B258" s="363"/>
      <c r="C258" s="363"/>
      <c r="D258" s="363"/>
      <c r="E258" s="363"/>
      <c r="F258" s="363"/>
      <c r="G258" s="363"/>
      <c r="H258" s="363"/>
      <c r="I258" s="363"/>
      <c r="J258" s="363"/>
      <c r="K258" s="363"/>
      <c r="L258" s="363"/>
      <c r="M258" s="363"/>
      <c r="N258" s="448"/>
    </row>
    <row r="259" spans="1:14" s="2715" customFormat="1" ht="24.75" customHeight="1">
      <c r="A259" s="362"/>
      <c r="B259" s="363"/>
      <c r="C259" s="363"/>
      <c r="D259" s="363"/>
      <c r="E259" s="363"/>
      <c r="F259" s="363"/>
      <c r="G259" s="363"/>
      <c r="H259" s="363"/>
      <c r="I259" s="363"/>
      <c r="J259" s="363"/>
      <c r="K259" s="363"/>
      <c r="L259" s="363"/>
      <c r="M259" s="363"/>
      <c r="N259" s="448"/>
    </row>
    <row r="260" spans="1:14" s="393" customFormat="1" ht="12.75" customHeight="1">
      <c r="A260" s="362"/>
      <c r="B260" s="363"/>
      <c r="C260" s="363"/>
      <c r="D260" s="363"/>
      <c r="E260" s="363"/>
      <c r="F260" s="363"/>
      <c r="G260" s="363"/>
      <c r="H260" s="363"/>
      <c r="I260" s="363"/>
      <c r="J260" s="363"/>
      <c r="K260" s="363"/>
      <c r="L260" s="363"/>
      <c r="M260" s="363"/>
      <c r="N260" s="448"/>
    </row>
    <row r="261" spans="1:14" s="393" customFormat="1" ht="12.75" customHeight="1">
      <c r="A261" s="362"/>
      <c r="B261" s="363"/>
      <c r="C261" s="363"/>
      <c r="D261" s="363"/>
      <c r="E261" s="363"/>
      <c r="F261" s="363"/>
      <c r="G261" s="363"/>
      <c r="H261" s="363"/>
      <c r="I261" s="363"/>
      <c r="J261" s="363"/>
      <c r="K261" s="363"/>
      <c r="L261" s="363"/>
      <c r="M261" s="363"/>
      <c r="N261" s="448"/>
    </row>
    <row r="262" spans="1:14" s="393" customFormat="1">
      <c r="A262" s="362"/>
      <c r="B262" s="363"/>
      <c r="C262" s="363"/>
      <c r="D262" s="363"/>
      <c r="E262" s="363"/>
      <c r="F262" s="363"/>
      <c r="G262" s="363"/>
      <c r="H262" s="363"/>
      <c r="I262" s="363"/>
      <c r="J262" s="363"/>
      <c r="K262" s="363"/>
      <c r="L262" s="363"/>
      <c r="M262" s="363"/>
      <c r="N262" s="448"/>
    </row>
    <row r="263" spans="1:14" s="393" customFormat="1">
      <c r="A263" s="362"/>
      <c r="B263" s="363"/>
      <c r="C263" s="363"/>
      <c r="D263" s="363"/>
      <c r="E263" s="363"/>
      <c r="F263" s="363"/>
      <c r="G263" s="363"/>
      <c r="H263" s="363"/>
      <c r="I263" s="363"/>
      <c r="J263" s="363"/>
      <c r="K263" s="363"/>
      <c r="L263" s="363"/>
      <c r="M263" s="363"/>
      <c r="N263" s="448"/>
    </row>
    <row r="264" spans="1:14" s="393" customFormat="1">
      <c r="A264" s="362"/>
      <c r="B264" s="363"/>
      <c r="C264" s="363"/>
      <c r="D264" s="363"/>
      <c r="E264" s="363"/>
      <c r="F264" s="363"/>
      <c r="G264" s="363"/>
      <c r="H264" s="363"/>
      <c r="I264" s="363"/>
      <c r="J264" s="363"/>
      <c r="K264" s="363"/>
      <c r="L264" s="363"/>
      <c r="M264" s="363"/>
      <c r="N264" s="448"/>
    </row>
    <row r="265" spans="1:14" s="2715" customFormat="1" ht="23.25" customHeight="1">
      <c r="A265" s="362"/>
      <c r="B265" s="363"/>
      <c r="C265" s="363"/>
      <c r="D265" s="363"/>
      <c r="E265" s="363"/>
      <c r="F265" s="363"/>
      <c r="G265" s="363"/>
      <c r="H265" s="363"/>
      <c r="I265" s="363"/>
      <c r="J265" s="363"/>
      <c r="K265" s="363"/>
      <c r="L265" s="363"/>
      <c r="M265" s="363"/>
      <c r="N265" s="448"/>
    </row>
    <row r="266" spans="1:14" s="393" customFormat="1" ht="15" customHeight="1">
      <c r="A266" s="362"/>
      <c r="B266" s="363"/>
      <c r="C266" s="363"/>
      <c r="D266" s="363"/>
      <c r="E266" s="363"/>
      <c r="F266" s="363"/>
      <c r="G266" s="363"/>
      <c r="H266" s="363"/>
      <c r="I266" s="363"/>
      <c r="J266" s="363"/>
      <c r="K266" s="363"/>
      <c r="L266" s="363"/>
      <c r="M266" s="363"/>
      <c r="N266" s="448"/>
    </row>
    <row r="267" spans="1:14" s="393" customFormat="1" ht="12.75" customHeight="1">
      <c r="A267" s="362"/>
      <c r="B267" s="363"/>
      <c r="C267" s="363"/>
      <c r="D267" s="363"/>
      <c r="E267" s="363"/>
      <c r="F267" s="363"/>
      <c r="G267" s="363"/>
      <c r="H267" s="363"/>
      <c r="I267" s="363"/>
      <c r="J267" s="363"/>
      <c r="K267" s="363"/>
      <c r="L267" s="363"/>
      <c r="M267" s="363"/>
      <c r="N267" s="448"/>
    </row>
    <row r="268" spans="1:14" s="393" customFormat="1">
      <c r="A268" s="362"/>
      <c r="B268" s="363"/>
      <c r="C268" s="363"/>
      <c r="D268" s="363"/>
      <c r="E268" s="363"/>
      <c r="F268" s="363"/>
      <c r="G268" s="363"/>
      <c r="H268" s="363"/>
      <c r="I268" s="363"/>
      <c r="J268" s="363"/>
      <c r="K268" s="363"/>
      <c r="L268" s="363"/>
      <c r="M268" s="363"/>
      <c r="N268" s="448"/>
    </row>
    <row r="269" spans="1:14" s="393" customFormat="1">
      <c r="A269" s="362"/>
      <c r="B269" s="363"/>
      <c r="C269" s="363"/>
      <c r="D269" s="363"/>
      <c r="E269" s="363"/>
      <c r="F269" s="363"/>
      <c r="G269" s="363"/>
      <c r="H269" s="363"/>
      <c r="I269" s="363"/>
      <c r="J269" s="363"/>
      <c r="K269" s="363"/>
      <c r="L269" s="363"/>
      <c r="M269" s="363"/>
      <c r="N269" s="448"/>
    </row>
    <row r="270" spans="1:14" s="2715" customFormat="1" ht="12.75" customHeight="1">
      <c r="A270" s="362"/>
      <c r="B270" s="363"/>
      <c r="C270" s="363"/>
      <c r="D270" s="363"/>
      <c r="E270" s="363"/>
      <c r="F270" s="363"/>
      <c r="G270" s="363"/>
      <c r="H270" s="363"/>
      <c r="I270" s="363"/>
      <c r="J270" s="363"/>
      <c r="K270" s="363"/>
      <c r="L270" s="363"/>
      <c r="M270" s="363"/>
      <c r="N270" s="448"/>
    </row>
    <row r="271" spans="1:14" s="393" customFormat="1" ht="9.75" customHeight="1">
      <c r="A271" s="362"/>
      <c r="B271" s="363"/>
      <c r="C271" s="363"/>
      <c r="D271" s="363"/>
      <c r="E271" s="363"/>
      <c r="F271" s="363"/>
      <c r="G271" s="363"/>
      <c r="H271" s="363"/>
      <c r="I271" s="363"/>
      <c r="J271" s="363"/>
      <c r="K271" s="363"/>
      <c r="L271" s="363"/>
      <c r="M271" s="363"/>
      <c r="N271" s="448"/>
    </row>
    <row r="272" spans="1:14" s="393" customFormat="1" ht="12.75" customHeight="1">
      <c r="A272" s="362"/>
      <c r="B272" s="363"/>
      <c r="C272" s="363"/>
      <c r="D272" s="363"/>
      <c r="E272" s="363"/>
      <c r="F272" s="363"/>
      <c r="G272" s="363"/>
      <c r="H272" s="363"/>
      <c r="I272" s="363"/>
      <c r="J272" s="363"/>
      <c r="K272" s="363"/>
      <c r="L272" s="363"/>
      <c r="M272" s="363"/>
      <c r="N272" s="448"/>
    </row>
    <row r="273" spans="1:14" s="393" customFormat="1">
      <c r="A273" s="362"/>
      <c r="B273" s="363"/>
      <c r="C273" s="363"/>
      <c r="D273" s="363"/>
      <c r="E273" s="363"/>
      <c r="F273" s="363"/>
      <c r="G273" s="363"/>
      <c r="H273" s="363"/>
      <c r="I273" s="363"/>
      <c r="J273" s="363"/>
      <c r="K273" s="363"/>
      <c r="L273" s="363"/>
      <c r="M273" s="363"/>
      <c r="N273" s="448"/>
    </row>
    <row r="274" spans="1:14" s="393" customFormat="1">
      <c r="A274" s="362"/>
      <c r="B274" s="363"/>
      <c r="C274" s="363"/>
      <c r="D274" s="363"/>
      <c r="E274" s="363"/>
      <c r="F274" s="363"/>
      <c r="G274" s="363"/>
      <c r="H274" s="363"/>
      <c r="I274" s="363"/>
      <c r="J274" s="363"/>
      <c r="K274" s="363"/>
      <c r="L274" s="363"/>
      <c r="M274" s="363"/>
      <c r="N274" s="448"/>
    </row>
    <row r="275" spans="1:14" s="2718" customFormat="1" ht="24" customHeight="1">
      <c r="A275" s="362"/>
      <c r="B275" s="363"/>
      <c r="C275" s="363"/>
      <c r="D275" s="363"/>
      <c r="E275" s="363"/>
      <c r="F275" s="363"/>
      <c r="G275" s="363"/>
      <c r="H275" s="363"/>
      <c r="I275" s="363"/>
      <c r="J275" s="363"/>
      <c r="K275" s="363"/>
      <c r="L275" s="363"/>
      <c r="M275" s="363"/>
      <c r="N275" s="448"/>
    </row>
    <row r="276" spans="1:14" s="393" customFormat="1" ht="11.25" customHeight="1">
      <c r="A276" s="362"/>
      <c r="B276" s="363"/>
      <c r="C276" s="363"/>
      <c r="D276" s="363"/>
      <c r="E276" s="363"/>
      <c r="F276" s="363"/>
      <c r="G276" s="363"/>
      <c r="H276" s="363"/>
      <c r="I276" s="363"/>
      <c r="J276" s="363"/>
      <c r="K276" s="363"/>
      <c r="L276" s="363"/>
      <c r="M276" s="363"/>
      <c r="N276" s="448"/>
    </row>
    <row r="277" spans="1:14" s="393" customFormat="1" ht="12.75" customHeight="1">
      <c r="A277" s="362"/>
      <c r="B277" s="363"/>
      <c r="C277" s="363"/>
      <c r="D277" s="363"/>
      <c r="E277" s="363"/>
      <c r="F277" s="363"/>
      <c r="G277" s="363"/>
      <c r="H277" s="363"/>
      <c r="I277" s="363"/>
      <c r="J277" s="363"/>
      <c r="K277" s="363"/>
      <c r="L277" s="363"/>
      <c r="M277" s="363"/>
      <c r="N277" s="448"/>
    </row>
    <row r="278" spans="1:14" s="393" customFormat="1">
      <c r="A278" s="362"/>
      <c r="B278" s="363"/>
      <c r="C278" s="363"/>
      <c r="D278" s="363"/>
      <c r="E278" s="363"/>
      <c r="F278" s="363"/>
      <c r="G278" s="363"/>
      <c r="H278" s="363"/>
      <c r="I278" s="363"/>
      <c r="J278" s="363"/>
      <c r="K278" s="363"/>
      <c r="L278" s="363"/>
      <c r="M278" s="363"/>
      <c r="N278" s="448"/>
    </row>
    <row r="279" spans="1:14" s="393" customFormat="1">
      <c r="A279" s="362"/>
      <c r="B279" s="363"/>
      <c r="C279" s="363"/>
      <c r="D279" s="363"/>
      <c r="E279" s="363"/>
      <c r="F279" s="363"/>
      <c r="G279" s="363"/>
      <c r="H279" s="363"/>
      <c r="I279" s="363"/>
      <c r="J279" s="363"/>
      <c r="K279" s="363"/>
      <c r="L279" s="363"/>
      <c r="M279" s="363"/>
      <c r="N279" s="448"/>
    </row>
    <row r="280" spans="1:14" s="393" customFormat="1">
      <c r="A280" s="362"/>
      <c r="B280" s="363"/>
      <c r="C280" s="363"/>
      <c r="D280" s="363"/>
      <c r="E280" s="363"/>
      <c r="F280" s="363"/>
      <c r="G280" s="363"/>
      <c r="H280" s="363"/>
      <c r="I280" s="363"/>
      <c r="J280" s="363"/>
      <c r="K280" s="363"/>
      <c r="L280" s="363"/>
      <c r="M280" s="363"/>
      <c r="N280" s="448"/>
    </row>
    <row r="281" spans="1:14" s="393" customFormat="1">
      <c r="A281" s="362"/>
      <c r="B281" s="363"/>
      <c r="C281" s="363"/>
      <c r="D281" s="363"/>
      <c r="E281" s="363"/>
      <c r="F281" s="363"/>
      <c r="G281" s="363"/>
      <c r="H281" s="363"/>
      <c r="I281" s="363"/>
      <c r="J281" s="363"/>
      <c r="K281" s="363"/>
      <c r="L281" s="363"/>
      <c r="M281" s="363"/>
      <c r="N281" s="448"/>
    </row>
    <row r="282" spans="1:14" s="393" customFormat="1" ht="12" customHeight="1">
      <c r="A282" s="362"/>
      <c r="B282" s="363"/>
      <c r="C282" s="363"/>
      <c r="D282" s="363"/>
      <c r="E282" s="363"/>
      <c r="F282" s="363"/>
      <c r="G282" s="363"/>
      <c r="H282" s="363"/>
      <c r="I282" s="363"/>
      <c r="J282" s="363"/>
      <c r="K282" s="363"/>
      <c r="L282" s="363"/>
      <c r="M282" s="363"/>
      <c r="N282" s="448"/>
    </row>
    <row r="283" spans="1:14" s="393" customFormat="1" ht="10.5" customHeight="1">
      <c r="A283" s="362"/>
      <c r="B283" s="363"/>
      <c r="C283" s="363"/>
      <c r="D283" s="363"/>
      <c r="E283" s="363"/>
      <c r="F283" s="363"/>
      <c r="G283" s="363"/>
      <c r="H283" s="363"/>
      <c r="I283" s="363"/>
      <c r="J283" s="363"/>
      <c r="K283" s="363"/>
      <c r="L283" s="363"/>
      <c r="M283" s="363"/>
      <c r="N283" s="448"/>
    </row>
    <row r="284" spans="1:14" s="393" customFormat="1">
      <c r="A284" s="362"/>
      <c r="B284" s="363"/>
      <c r="C284" s="363"/>
      <c r="D284" s="363"/>
      <c r="E284" s="363"/>
      <c r="F284" s="363"/>
      <c r="G284" s="363"/>
      <c r="H284" s="363"/>
      <c r="I284" s="363"/>
      <c r="J284" s="363"/>
      <c r="K284" s="363"/>
      <c r="L284" s="363"/>
      <c r="M284" s="363"/>
      <c r="N284" s="448"/>
    </row>
    <row r="285" spans="1:14" s="393" customFormat="1">
      <c r="A285" s="362"/>
      <c r="B285" s="363"/>
      <c r="C285" s="363"/>
      <c r="D285" s="363"/>
      <c r="E285" s="363"/>
      <c r="F285" s="363"/>
      <c r="G285" s="363"/>
      <c r="H285" s="363"/>
      <c r="I285" s="363"/>
      <c r="J285" s="363"/>
      <c r="K285" s="363"/>
      <c r="L285" s="363"/>
      <c r="M285" s="363"/>
      <c r="N285" s="448"/>
    </row>
    <row r="286" spans="1:14" s="393" customFormat="1">
      <c r="A286" s="362"/>
      <c r="B286" s="363"/>
      <c r="C286" s="363"/>
      <c r="D286" s="363"/>
      <c r="E286" s="363"/>
      <c r="F286" s="363"/>
      <c r="G286" s="363"/>
      <c r="H286" s="363"/>
      <c r="I286" s="363"/>
      <c r="J286" s="363"/>
      <c r="K286" s="363"/>
      <c r="L286" s="363"/>
      <c r="M286" s="363"/>
      <c r="N286" s="448"/>
    </row>
    <row r="287" spans="1:14" s="393" customFormat="1">
      <c r="A287" s="362"/>
      <c r="B287" s="363"/>
      <c r="C287" s="363"/>
      <c r="D287" s="363"/>
      <c r="E287" s="363"/>
      <c r="F287" s="363"/>
      <c r="G287" s="363"/>
      <c r="H287" s="363"/>
      <c r="I287" s="363"/>
      <c r="J287" s="363"/>
      <c r="K287" s="363"/>
      <c r="L287" s="363"/>
      <c r="M287" s="363"/>
      <c r="N287" s="448"/>
    </row>
    <row r="288" spans="1:14" s="393" customFormat="1">
      <c r="A288" s="362"/>
      <c r="B288" s="363"/>
      <c r="C288" s="363"/>
      <c r="D288" s="363"/>
      <c r="E288" s="363"/>
      <c r="F288" s="363"/>
      <c r="G288" s="363"/>
      <c r="H288" s="363"/>
      <c r="I288" s="363"/>
      <c r="J288" s="363"/>
      <c r="K288" s="363"/>
      <c r="L288" s="363"/>
      <c r="M288" s="363"/>
      <c r="N288" s="448"/>
    </row>
    <row r="289" spans="1:14" s="393" customFormat="1" ht="32.25" customHeight="1">
      <c r="A289" s="362"/>
      <c r="B289" s="363"/>
      <c r="C289" s="363"/>
      <c r="D289" s="363"/>
      <c r="E289" s="363"/>
      <c r="F289" s="363"/>
      <c r="G289" s="363"/>
      <c r="H289" s="363"/>
      <c r="I289" s="363"/>
      <c r="J289" s="363"/>
      <c r="K289" s="363"/>
      <c r="L289" s="363"/>
      <c r="M289" s="363"/>
      <c r="N289" s="448"/>
    </row>
    <row r="290" spans="1:14" s="393" customFormat="1" ht="15" customHeight="1">
      <c r="A290" s="362"/>
      <c r="B290" s="363"/>
      <c r="C290" s="363"/>
      <c r="D290" s="363"/>
      <c r="E290" s="363"/>
      <c r="F290" s="363"/>
      <c r="G290" s="363"/>
      <c r="H290" s="363"/>
      <c r="I290" s="363"/>
      <c r="J290" s="363"/>
      <c r="K290" s="363"/>
      <c r="L290" s="363"/>
      <c r="M290" s="363"/>
      <c r="N290" s="448"/>
    </row>
    <row r="291" spans="1:14" s="393" customFormat="1" ht="12.75" customHeight="1">
      <c r="A291" s="362"/>
      <c r="B291" s="363"/>
      <c r="C291" s="363"/>
      <c r="D291" s="363"/>
      <c r="E291" s="363"/>
      <c r="F291" s="363"/>
      <c r="G291" s="363"/>
      <c r="H291" s="363"/>
      <c r="I291" s="363"/>
      <c r="J291" s="363"/>
      <c r="K291" s="363"/>
      <c r="L291" s="363"/>
      <c r="M291" s="363"/>
      <c r="N291" s="448"/>
    </row>
    <row r="292" spans="1:14" s="393" customFormat="1">
      <c r="A292" s="362"/>
      <c r="B292" s="363"/>
      <c r="C292" s="363"/>
      <c r="D292" s="363"/>
      <c r="E292" s="363"/>
      <c r="F292" s="363"/>
      <c r="G292" s="363"/>
      <c r="H292" s="363"/>
      <c r="I292" s="363"/>
      <c r="J292" s="363"/>
      <c r="K292" s="363"/>
      <c r="L292" s="363"/>
      <c r="M292" s="363"/>
      <c r="N292" s="448"/>
    </row>
    <row r="293" spans="1:14" s="393" customFormat="1">
      <c r="A293" s="362"/>
      <c r="B293" s="363"/>
      <c r="C293" s="363"/>
      <c r="D293" s="363"/>
      <c r="E293" s="363"/>
      <c r="F293" s="363"/>
      <c r="G293" s="363"/>
      <c r="H293" s="363"/>
      <c r="I293" s="363"/>
      <c r="J293" s="363"/>
      <c r="K293" s="363"/>
      <c r="L293" s="363"/>
      <c r="M293" s="363"/>
      <c r="N293" s="2719"/>
    </row>
    <row r="294" spans="1:14" s="393" customFormat="1">
      <c r="A294" s="362"/>
      <c r="B294" s="363"/>
      <c r="C294" s="363"/>
      <c r="D294" s="363"/>
      <c r="E294" s="363"/>
      <c r="F294" s="363"/>
      <c r="G294" s="363"/>
      <c r="H294" s="363"/>
      <c r="I294" s="363"/>
      <c r="J294" s="363"/>
      <c r="K294" s="363"/>
      <c r="L294" s="363"/>
      <c r="M294" s="363"/>
      <c r="N294" s="2719"/>
    </row>
    <row r="295" spans="1:14" s="393" customFormat="1" ht="21.75" customHeight="1">
      <c r="A295" s="362"/>
      <c r="B295" s="363"/>
      <c r="C295" s="363"/>
      <c r="D295" s="363"/>
      <c r="E295" s="363"/>
      <c r="F295" s="363"/>
      <c r="G295" s="363"/>
      <c r="H295" s="363"/>
      <c r="I295" s="363"/>
      <c r="J295" s="363"/>
      <c r="K295" s="363"/>
      <c r="L295" s="363"/>
      <c r="M295" s="363"/>
      <c r="N295" s="2719"/>
    </row>
    <row r="296" spans="1:14" s="393" customFormat="1" ht="12.75" customHeight="1">
      <c r="A296" s="362"/>
      <c r="B296" s="363"/>
      <c r="C296" s="363"/>
      <c r="D296" s="363"/>
      <c r="E296" s="363"/>
      <c r="F296" s="363"/>
      <c r="G296" s="363"/>
      <c r="H296" s="363"/>
      <c r="I296" s="363"/>
      <c r="J296" s="363"/>
      <c r="K296" s="363"/>
      <c r="L296" s="363"/>
      <c r="M296" s="363"/>
      <c r="N296" s="2719"/>
    </row>
    <row r="297" spans="1:14" s="393" customFormat="1" ht="12.75" customHeight="1">
      <c r="A297" s="362"/>
      <c r="B297" s="363"/>
      <c r="C297" s="363"/>
      <c r="D297" s="363"/>
      <c r="E297" s="363"/>
      <c r="F297" s="363"/>
      <c r="G297" s="363"/>
      <c r="H297" s="363"/>
      <c r="I297" s="363"/>
      <c r="J297" s="363"/>
      <c r="K297" s="363"/>
      <c r="L297" s="363"/>
      <c r="M297" s="363"/>
      <c r="N297" s="2719"/>
    </row>
    <row r="298" spans="1:14" s="393" customFormat="1">
      <c r="A298" s="362"/>
      <c r="B298" s="363"/>
      <c r="C298" s="363"/>
      <c r="D298" s="363"/>
      <c r="E298" s="363"/>
      <c r="F298" s="363"/>
      <c r="G298" s="363"/>
      <c r="H298" s="363"/>
      <c r="I298" s="363"/>
      <c r="J298" s="363"/>
      <c r="K298" s="363"/>
      <c r="L298" s="363"/>
      <c r="M298" s="363"/>
      <c r="N298" s="2719"/>
    </row>
    <row r="299" spans="1:14" s="393" customFormat="1">
      <c r="A299" s="362"/>
      <c r="B299" s="363"/>
      <c r="C299" s="363"/>
      <c r="D299" s="363"/>
      <c r="E299" s="363"/>
      <c r="F299" s="363"/>
      <c r="G299" s="363"/>
      <c r="H299" s="363"/>
      <c r="I299" s="363"/>
      <c r="J299" s="363"/>
      <c r="K299" s="363"/>
      <c r="L299" s="363"/>
      <c r="M299" s="363"/>
      <c r="N299" s="2719"/>
    </row>
    <row r="300" spans="1:14" s="393" customFormat="1">
      <c r="A300" s="362"/>
      <c r="B300" s="363"/>
      <c r="C300" s="363"/>
      <c r="D300" s="363"/>
      <c r="E300" s="363"/>
      <c r="F300" s="363"/>
      <c r="G300" s="363"/>
      <c r="H300" s="363"/>
      <c r="I300" s="363"/>
      <c r="J300" s="363"/>
      <c r="K300" s="363"/>
      <c r="L300" s="363"/>
      <c r="M300" s="363"/>
      <c r="N300" s="2719"/>
    </row>
    <row r="301" spans="1:14" s="393" customFormat="1">
      <c r="A301" s="362"/>
      <c r="B301" s="363"/>
      <c r="C301" s="363"/>
      <c r="D301" s="363"/>
      <c r="E301" s="363"/>
      <c r="F301" s="363"/>
      <c r="G301" s="363"/>
      <c r="H301" s="363"/>
      <c r="I301" s="363"/>
      <c r="J301" s="363"/>
      <c r="K301" s="363"/>
      <c r="L301" s="363"/>
      <c r="M301" s="363"/>
      <c r="N301" s="2719"/>
    </row>
    <row r="302" spans="1:14" s="2718" customFormat="1" ht="35.25" customHeight="1">
      <c r="A302" s="362"/>
      <c r="B302" s="363"/>
      <c r="C302" s="363"/>
      <c r="D302" s="363"/>
      <c r="E302" s="363"/>
      <c r="F302" s="363"/>
      <c r="G302" s="363"/>
      <c r="H302" s="363"/>
      <c r="I302" s="363"/>
      <c r="J302" s="363"/>
      <c r="K302" s="363"/>
      <c r="L302" s="363"/>
      <c r="M302" s="363"/>
      <c r="N302" s="2719"/>
    </row>
    <row r="303" spans="1:14" s="393" customFormat="1" ht="11.25" customHeight="1">
      <c r="A303" s="362"/>
      <c r="B303" s="363"/>
      <c r="C303" s="363"/>
      <c r="D303" s="363"/>
      <c r="E303" s="363"/>
      <c r="F303" s="363"/>
      <c r="G303" s="363"/>
      <c r="H303" s="363"/>
      <c r="I303" s="363"/>
      <c r="J303" s="363"/>
      <c r="K303" s="363"/>
      <c r="L303" s="363"/>
      <c r="M303" s="363"/>
      <c r="N303" s="2719"/>
    </row>
    <row r="304" spans="1:14" s="393" customFormat="1" ht="12.75" customHeight="1">
      <c r="A304" s="362"/>
      <c r="B304" s="363"/>
      <c r="C304" s="363"/>
      <c r="D304" s="363"/>
      <c r="E304" s="363"/>
      <c r="F304" s="363"/>
      <c r="G304" s="363"/>
      <c r="H304" s="363"/>
      <c r="I304" s="363"/>
      <c r="J304" s="363"/>
      <c r="K304" s="363"/>
      <c r="L304" s="363"/>
      <c r="M304" s="363"/>
      <c r="N304" s="2719"/>
    </row>
    <row r="305" spans="1:14" s="2718" customFormat="1" ht="14.25" customHeight="1">
      <c r="A305" s="362"/>
      <c r="B305" s="363"/>
      <c r="C305" s="363"/>
      <c r="D305" s="363"/>
      <c r="E305" s="363"/>
      <c r="F305" s="363"/>
      <c r="G305" s="363"/>
      <c r="H305" s="363"/>
      <c r="I305" s="363"/>
      <c r="J305" s="363"/>
      <c r="K305" s="363"/>
      <c r="L305" s="363"/>
      <c r="M305" s="363"/>
      <c r="N305" s="2719"/>
    </row>
    <row r="306" spans="1:14" s="393" customFormat="1" ht="11.25" customHeight="1">
      <c r="A306" s="362"/>
      <c r="B306" s="363"/>
      <c r="C306" s="363"/>
      <c r="D306" s="363"/>
      <c r="E306" s="363"/>
      <c r="F306" s="363"/>
      <c r="G306" s="363"/>
      <c r="H306" s="363"/>
      <c r="I306" s="363"/>
      <c r="J306" s="363"/>
      <c r="K306" s="363"/>
      <c r="L306" s="363"/>
      <c r="M306" s="363"/>
      <c r="N306" s="2719"/>
    </row>
    <row r="307" spans="1:14" s="393" customFormat="1" ht="12.75" customHeight="1">
      <c r="A307" s="362"/>
      <c r="B307" s="363"/>
      <c r="C307" s="363"/>
      <c r="D307" s="363"/>
      <c r="E307" s="363"/>
      <c r="F307" s="363"/>
      <c r="G307" s="363"/>
      <c r="H307" s="363"/>
      <c r="I307" s="363"/>
      <c r="J307" s="363"/>
      <c r="K307" s="363"/>
      <c r="L307" s="363"/>
      <c r="M307" s="363"/>
      <c r="N307" s="2719"/>
    </row>
    <row r="308" spans="1:14" s="2718" customFormat="1" ht="23.25" customHeight="1">
      <c r="A308" s="362"/>
      <c r="B308" s="363"/>
      <c r="C308" s="363"/>
      <c r="D308" s="363"/>
      <c r="E308" s="363"/>
      <c r="F308" s="363"/>
      <c r="G308" s="363"/>
      <c r="H308" s="363"/>
      <c r="I308" s="363"/>
      <c r="J308" s="363"/>
      <c r="K308" s="363"/>
      <c r="L308" s="363"/>
      <c r="M308" s="363"/>
      <c r="N308" s="2719"/>
    </row>
    <row r="309" spans="1:14" s="393" customFormat="1" ht="11.25" customHeight="1">
      <c r="A309" s="362"/>
      <c r="B309" s="363"/>
      <c r="C309" s="363"/>
      <c r="D309" s="363"/>
      <c r="E309" s="363"/>
      <c r="F309" s="363"/>
      <c r="G309" s="363"/>
      <c r="H309" s="363"/>
      <c r="I309" s="363"/>
      <c r="J309" s="363"/>
      <c r="K309" s="363"/>
      <c r="L309" s="363"/>
      <c r="M309" s="363"/>
      <c r="N309" s="2719"/>
    </row>
    <row r="310" spans="1:14" s="393" customFormat="1">
      <c r="A310" s="362"/>
      <c r="B310" s="363"/>
      <c r="C310" s="363"/>
      <c r="D310" s="363"/>
      <c r="E310" s="363"/>
      <c r="F310" s="363"/>
      <c r="G310" s="363"/>
      <c r="H310" s="363"/>
      <c r="I310" s="363"/>
      <c r="J310" s="363"/>
      <c r="K310" s="363"/>
      <c r="L310" s="363"/>
      <c r="M310" s="363"/>
      <c r="N310" s="2719"/>
    </row>
    <row r="311" spans="1:14" s="393" customFormat="1">
      <c r="A311" s="362"/>
      <c r="B311" s="363"/>
      <c r="C311" s="363"/>
      <c r="D311" s="363"/>
      <c r="E311" s="363"/>
      <c r="F311" s="363"/>
      <c r="G311" s="363"/>
      <c r="H311" s="363"/>
      <c r="I311" s="363"/>
      <c r="J311" s="363"/>
      <c r="K311" s="363"/>
      <c r="L311" s="363"/>
      <c r="M311" s="363"/>
      <c r="N311" s="2719"/>
    </row>
    <row r="312" spans="1:14" s="2718" customFormat="1" ht="23.25" customHeight="1">
      <c r="A312" s="362"/>
      <c r="B312" s="363"/>
      <c r="C312" s="363"/>
      <c r="D312" s="363"/>
      <c r="E312" s="363"/>
      <c r="F312" s="363"/>
      <c r="G312" s="363"/>
      <c r="H312" s="363"/>
      <c r="I312" s="363"/>
      <c r="J312" s="363"/>
      <c r="K312" s="363"/>
      <c r="L312" s="363"/>
      <c r="M312" s="363"/>
      <c r="N312" s="2719"/>
    </row>
    <row r="313" spans="1:14" s="393" customFormat="1" ht="11.25" customHeight="1">
      <c r="A313" s="362"/>
      <c r="B313" s="363"/>
      <c r="C313" s="363"/>
      <c r="D313" s="363"/>
      <c r="E313" s="363"/>
      <c r="F313" s="363"/>
      <c r="G313" s="363"/>
      <c r="H313" s="363"/>
      <c r="I313" s="363"/>
      <c r="J313" s="363"/>
      <c r="K313" s="363"/>
      <c r="L313" s="363"/>
      <c r="M313" s="363"/>
      <c r="N313" s="2719"/>
    </row>
    <row r="314" spans="1:14" s="393" customFormat="1">
      <c r="A314" s="362"/>
      <c r="B314" s="363"/>
      <c r="C314" s="363"/>
      <c r="D314" s="363"/>
      <c r="E314" s="363"/>
      <c r="F314" s="363"/>
      <c r="G314" s="363"/>
      <c r="H314" s="363"/>
      <c r="I314" s="363"/>
      <c r="J314" s="363"/>
      <c r="K314" s="363"/>
      <c r="L314" s="363"/>
      <c r="M314" s="363"/>
      <c r="N314" s="2719"/>
    </row>
    <row r="315" spans="1:14">
      <c r="N315" s="2719"/>
    </row>
    <row r="316" spans="1:14">
      <c r="N316" s="2719"/>
    </row>
    <row r="317" spans="1:14">
      <c r="N317" s="2719"/>
    </row>
    <row r="318" spans="1:14">
      <c r="N318" s="2719"/>
    </row>
    <row r="319" spans="1:14">
      <c r="N319" s="2719"/>
    </row>
    <row r="320" spans="1:14">
      <c r="N320" s="2719"/>
    </row>
    <row r="321" spans="14:14">
      <c r="N321" s="2719"/>
    </row>
    <row r="536" spans="1:14" ht="13.5" thickBot="1"/>
    <row r="537" spans="1:14" ht="33.75">
      <c r="A537" s="451"/>
      <c r="B537" s="452" t="s">
        <v>69</v>
      </c>
      <c r="C537" s="452"/>
      <c r="D537" s="453"/>
      <c r="E537" s="453"/>
      <c r="F537" s="453"/>
      <c r="G537" s="453"/>
      <c r="H537" s="453"/>
      <c r="I537" s="453"/>
      <c r="J537" s="453"/>
      <c r="K537" s="453"/>
      <c r="L537" s="453"/>
      <c r="M537" s="453"/>
      <c r="N537" s="454"/>
    </row>
    <row r="538" spans="1:14">
      <c r="A538" s="455"/>
      <c r="N538" s="456"/>
    </row>
    <row r="539" spans="1:14">
      <c r="A539" s="455"/>
      <c r="N539" s="456"/>
    </row>
    <row r="540" spans="1:14">
      <c r="A540" s="455"/>
      <c r="N540" s="456"/>
    </row>
    <row r="541" spans="1:14">
      <c r="A541" s="455"/>
      <c r="N541" s="456"/>
    </row>
    <row r="542" spans="1:14">
      <c r="A542" s="455"/>
      <c r="N542" s="456"/>
    </row>
    <row r="543" spans="1:14">
      <c r="A543" s="455"/>
      <c r="N543" s="456"/>
    </row>
    <row r="544" spans="1:14">
      <c r="A544" s="455"/>
      <c r="N544" s="456"/>
    </row>
    <row r="545" spans="1:14">
      <c r="A545" s="455"/>
      <c r="N545" s="456"/>
    </row>
    <row r="546" spans="1:14">
      <c r="A546" s="455"/>
      <c r="N546" s="456"/>
    </row>
    <row r="547" spans="1:14">
      <c r="A547" s="455"/>
      <c r="N547" s="456"/>
    </row>
    <row r="548" spans="1:14" ht="13.5" thickBot="1">
      <c r="A548" s="457"/>
      <c r="B548" s="458"/>
      <c r="C548" s="458"/>
      <c r="D548" s="458"/>
      <c r="E548" s="458"/>
      <c r="F548" s="458"/>
      <c r="G548" s="458"/>
      <c r="H548" s="458"/>
      <c r="I548" s="458"/>
      <c r="J548" s="458"/>
      <c r="K548" s="458"/>
      <c r="L548" s="458"/>
      <c r="M548" s="458"/>
      <c r="N548" s="459"/>
    </row>
  </sheetData>
  <mergeCells count="69">
    <mergeCell ref="A139:N139"/>
    <mergeCell ref="A136:N136"/>
    <mergeCell ref="A138:I138"/>
    <mergeCell ref="A137:L137"/>
    <mergeCell ref="A39:A52"/>
    <mergeCell ref="B39:B40"/>
    <mergeCell ref="C128:C130"/>
    <mergeCell ref="A126:A130"/>
    <mergeCell ref="A131:A135"/>
    <mergeCell ref="N39:N52"/>
    <mergeCell ref="C42:C47"/>
    <mergeCell ref="C49:C50"/>
    <mergeCell ref="C39:C40"/>
    <mergeCell ref="N78:N82"/>
    <mergeCell ref="C80:C82"/>
    <mergeCell ref="A78:A82"/>
    <mergeCell ref="A5:E5"/>
    <mergeCell ref="C6:C8"/>
    <mergeCell ref="D6:D8"/>
    <mergeCell ref="A29:A38"/>
    <mergeCell ref="C31:C35"/>
    <mergeCell ref="E6:E7"/>
    <mergeCell ref="N6:N8"/>
    <mergeCell ref="N29:N38"/>
    <mergeCell ref="M6:M8"/>
    <mergeCell ref="M23:M28"/>
    <mergeCell ref="F6:L7"/>
    <mergeCell ref="P53:R63"/>
    <mergeCell ref="C55:C60"/>
    <mergeCell ref="C63:C65"/>
    <mergeCell ref="A66:A75"/>
    <mergeCell ref="N66:N77"/>
    <mergeCell ref="P66:R74"/>
    <mergeCell ref="C68:C70"/>
    <mergeCell ref="C71:C72"/>
    <mergeCell ref="C74:C75"/>
    <mergeCell ref="M73:M77"/>
    <mergeCell ref="M62:M65"/>
    <mergeCell ref="A53:A65"/>
    <mergeCell ref="N53:N65"/>
    <mergeCell ref="N83:N87"/>
    <mergeCell ref="C123:C125"/>
    <mergeCell ref="A116:A119"/>
    <mergeCell ref="A121:A125"/>
    <mergeCell ref="N116:N120"/>
    <mergeCell ref="N121:N125"/>
    <mergeCell ref="C112:C113"/>
    <mergeCell ref="C85:C87"/>
    <mergeCell ref="A88:A92"/>
    <mergeCell ref="N88:N92"/>
    <mergeCell ref="C90:C92"/>
    <mergeCell ref="M111:M115"/>
    <mergeCell ref="A83:A87"/>
    <mergeCell ref="N131:N135"/>
    <mergeCell ref="C133:C135"/>
    <mergeCell ref="O103:Q103"/>
    <mergeCell ref="A93:A102"/>
    <mergeCell ref="N93:N102"/>
    <mergeCell ref="C95:C97"/>
    <mergeCell ref="C98:C99"/>
    <mergeCell ref="M100:M102"/>
    <mergeCell ref="C101:C102"/>
    <mergeCell ref="A103:A115"/>
    <mergeCell ref="N103:N115"/>
    <mergeCell ref="C105:C107"/>
    <mergeCell ref="C109:C110"/>
    <mergeCell ref="C114:C115"/>
    <mergeCell ref="C118:C120"/>
    <mergeCell ref="N126:N130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2" firstPageNumber="40" orientation="landscape" useFirstPageNumber="1" r:id="rId1"/>
  <headerFooter alignWithMargins="0">
    <oddHeader>&amp;C&amp;"Arial,Kursywa"Wieloletnia prognoza finansowa Województwa Zachodniopomorskiego na lata 2017 - 2044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130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D194"/>
  <sheetViews>
    <sheetView showGridLines="0" view="pageBreakPreview" zoomScale="115" zoomScaleNormal="100" zoomScaleSheetLayoutView="115" workbookViewId="0">
      <pane ySplit="8" topLeftCell="A9" activePane="bottomLeft" state="frozen"/>
      <selection activeCell="J81" sqref="J81"/>
      <selection pane="bottomLeft" activeCell="B53" sqref="B53"/>
    </sheetView>
  </sheetViews>
  <sheetFormatPr defaultColWidth="9.140625" defaultRowHeight="11.25"/>
  <cols>
    <col min="1" max="1" width="2.85546875" style="377" customWidth="1"/>
    <col min="2" max="2" width="56.28515625" style="213" customWidth="1"/>
    <col min="3" max="3" width="10" style="213" customWidth="1"/>
    <col min="4" max="4" width="14.140625" style="213" customWidth="1"/>
    <col min="5" max="5" width="12" style="213" customWidth="1"/>
    <col min="6" max="6" width="9" style="213" customWidth="1"/>
    <col min="7" max="7" width="10.140625" style="213" customWidth="1"/>
    <col min="8" max="8" width="9.28515625" style="213" customWidth="1"/>
    <col min="9" max="12" width="9.5703125" style="213" customWidth="1"/>
    <col min="13" max="13" width="10.5703125" style="213" customWidth="1"/>
    <col min="14" max="14" width="15.7109375" style="214" customWidth="1"/>
    <col min="15" max="16384" width="9.140625" style="213"/>
  </cols>
  <sheetData>
    <row r="1" spans="1:14" ht="18" customHeight="1">
      <c r="H1" s="368" t="s">
        <v>134</v>
      </c>
      <c r="I1" s="368"/>
      <c r="J1" s="368"/>
      <c r="K1" s="368"/>
      <c r="L1" s="368"/>
      <c r="M1" s="6"/>
      <c r="N1" s="7"/>
    </row>
    <row r="2" spans="1:14" ht="7.5" customHeight="1">
      <c r="I2" s="6"/>
      <c r="J2" s="6"/>
      <c r="K2" s="6"/>
      <c r="L2" s="6"/>
      <c r="M2" s="6"/>
      <c r="N2" s="7"/>
    </row>
    <row r="3" spans="1:14" ht="14.25" hidden="1" customHeight="1">
      <c r="F3" s="369"/>
      <c r="G3" s="369"/>
      <c r="H3" s="369"/>
      <c r="I3" s="6"/>
      <c r="J3" s="6"/>
      <c r="K3" s="6"/>
      <c r="L3" s="6"/>
      <c r="M3" s="6"/>
      <c r="N3" s="7"/>
    </row>
    <row r="4" spans="1:14" ht="9" customHeight="1">
      <c r="F4" s="369"/>
      <c r="G4" s="369"/>
      <c r="H4" s="369"/>
      <c r="I4" s="6"/>
      <c r="J4" s="6"/>
      <c r="K4" s="6"/>
      <c r="L4" s="6"/>
      <c r="M4" s="6"/>
      <c r="N4" s="7"/>
    </row>
    <row r="5" spans="1:14" ht="38.25" customHeight="1" thickBot="1">
      <c r="A5" s="3454" t="s">
        <v>135</v>
      </c>
      <c r="B5" s="3454"/>
      <c r="C5" s="3454"/>
      <c r="D5" s="3454"/>
      <c r="E5" s="3454"/>
      <c r="F5" s="3454"/>
      <c r="G5" s="3454"/>
      <c r="H5" s="3454"/>
      <c r="I5" s="3454"/>
      <c r="J5" s="3454"/>
      <c r="K5" s="3454"/>
      <c r="L5" s="3454"/>
      <c r="M5" s="3454"/>
      <c r="N5" s="3454"/>
    </row>
    <row r="6" spans="1:14" s="2752" customFormat="1" ht="33.75" customHeight="1">
      <c r="A6" s="165"/>
      <c r="B6" s="3461" t="s">
        <v>75</v>
      </c>
      <c r="C6" s="3216" t="s">
        <v>71</v>
      </c>
      <c r="D6" s="3420" t="s">
        <v>136</v>
      </c>
      <c r="E6" s="3423" t="s">
        <v>296</v>
      </c>
      <c r="F6" s="3414" t="s">
        <v>415</v>
      </c>
      <c r="G6" s="3349"/>
      <c r="H6" s="3349"/>
      <c r="I6" s="3349"/>
      <c r="J6" s="3349"/>
      <c r="K6" s="3349"/>
      <c r="L6" s="3350"/>
      <c r="M6" s="3225" t="s">
        <v>410</v>
      </c>
      <c r="N6" s="3410" t="s">
        <v>73</v>
      </c>
    </row>
    <row r="7" spans="1:14" s="2752" customFormat="1" ht="25.5" customHeight="1">
      <c r="A7" s="166" t="s">
        <v>74</v>
      </c>
      <c r="B7" s="3462"/>
      <c r="C7" s="3464"/>
      <c r="D7" s="3466"/>
      <c r="E7" s="3424"/>
      <c r="F7" s="3415"/>
      <c r="G7" s="3416"/>
      <c r="H7" s="3416"/>
      <c r="I7" s="3416"/>
      <c r="J7" s="3416"/>
      <c r="K7" s="3416"/>
      <c r="L7" s="3417"/>
      <c r="M7" s="3413"/>
      <c r="N7" s="3411"/>
    </row>
    <row r="8" spans="1:14" s="2752" customFormat="1" ht="20.25" customHeight="1" thickBot="1">
      <c r="A8" s="166"/>
      <c r="B8" s="3463"/>
      <c r="C8" s="3465"/>
      <c r="D8" s="3467"/>
      <c r="E8" s="2802" t="s">
        <v>555</v>
      </c>
      <c r="F8" s="2754" t="s">
        <v>5</v>
      </c>
      <c r="G8" s="2754" t="s">
        <v>6</v>
      </c>
      <c r="H8" s="279" t="s">
        <v>229</v>
      </c>
      <c r="I8" s="279" t="s">
        <v>231</v>
      </c>
      <c r="J8" s="279" t="s">
        <v>286</v>
      </c>
      <c r="K8" s="279" t="s">
        <v>287</v>
      </c>
      <c r="L8" s="279" t="s">
        <v>285</v>
      </c>
      <c r="M8" s="3226"/>
      <c r="N8" s="3412"/>
    </row>
    <row r="9" spans="1:14" s="2752" customFormat="1" ht="13.5" customHeight="1" thickBot="1">
      <c r="A9" s="1465">
        <v>1</v>
      </c>
      <c r="B9" s="1466">
        <v>2</v>
      </c>
      <c r="C9" s="1467" t="s">
        <v>121</v>
      </c>
      <c r="D9" s="1467" t="s">
        <v>122</v>
      </c>
      <c r="E9" s="1467">
        <v>5</v>
      </c>
      <c r="F9" s="1467">
        <v>6</v>
      </c>
      <c r="G9" s="1467">
        <v>7</v>
      </c>
      <c r="H9" s="1467">
        <v>8</v>
      </c>
      <c r="I9" s="1467">
        <v>9</v>
      </c>
      <c r="J9" s="1467">
        <v>10</v>
      </c>
      <c r="K9" s="1467">
        <v>11</v>
      </c>
      <c r="L9" s="1467">
        <v>12</v>
      </c>
      <c r="M9" s="1468">
        <v>13</v>
      </c>
      <c r="N9" s="1469">
        <v>14</v>
      </c>
    </row>
    <row r="10" spans="1:14" s="2752" customFormat="1" ht="17.25" customHeight="1">
      <c r="A10" s="167"/>
      <c r="B10" s="249" t="s">
        <v>76</v>
      </c>
      <c r="C10" s="250"/>
      <c r="D10" s="251">
        <f>+D11+D12</f>
        <v>783000</v>
      </c>
      <c r="E10" s="251">
        <f t="shared" ref="E10" si="0">+E11+E12</f>
        <v>619190</v>
      </c>
      <c r="F10" s="251">
        <f t="shared" ref="F10" si="1">+F11+F12</f>
        <v>163810</v>
      </c>
      <c r="G10" s="251">
        <f t="shared" ref="G10:L10" si="2">+G11+G12</f>
        <v>0</v>
      </c>
      <c r="H10" s="251">
        <f t="shared" si="2"/>
        <v>0</v>
      </c>
      <c r="I10" s="251">
        <f t="shared" si="2"/>
        <v>0</v>
      </c>
      <c r="J10" s="251">
        <f t="shared" si="2"/>
        <v>0</v>
      </c>
      <c r="K10" s="251">
        <f t="shared" si="2"/>
        <v>0</v>
      </c>
      <c r="L10" s="251">
        <f t="shared" si="2"/>
        <v>0</v>
      </c>
      <c r="M10" s="16">
        <f>+M11+M12</f>
        <v>163810</v>
      </c>
      <c r="N10" s="169"/>
    </row>
    <row r="11" spans="1:14" s="2752" customFormat="1" ht="13.5" customHeight="1">
      <c r="A11" s="167"/>
      <c r="B11" s="241" t="s">
        <v>77</v>
      </c>
      <c r="C11" s="242"/>
      <c r="D11" s="243">
        <f>+D22+D33+D44+D51+D58+D65</f>
        <v>783000</v>
      </c>
      <c r="E11" s="243">
        <f>+E22+E33+E44+E51+E58+E65</f>
        <v>619190</v>
      </c>
      <c r="F11" s="243">
        <f>+F22+F33+F44+F51+F58+F65</f>
        <v>163810</v>
      </c>
      <c r="G11" s="243">
        <f t="shared" ref="G11:L11" si="3">+G22+G33+G44+G51</f>
        <v>0</v>
      </c>
      <c r="H11" s="243">
        <f t="shared" si="3"/>
        <v>0</v>
      </c>
      <c r="I11" s="243">
        <f t="shared" si="3"/>
        <v>0</v>
      </c>
      <c r="J11" s="243">
        <f t="shared" si="3"/>
        <v>0</v>
      </c>
      <c r="K11" s="243">
        <f t="shared" si="3"/>
        <v>0</v>
      </c>
      <c r="L11" s="243">
        <f t="shared" si="3"/>
        <v>0</v>
      </c>
      <c r="M11" s="18">
        <f>SUM(F11:L11)</f>
        <v>163810</v>
      </c>
      <c r="N11" s="169"/>
    </row>
    <row r="12" spans="1:14" s="2752" customFormat="1" ht="13.5" customHeight="1" thickBot="1">
      <c r="A12" s="167"/>
      <c r="B12" s="252" t="s">
        <v>9</v>
      </c>
      <c r="C12" s="242"/>
      <c r="D12" s="243">
        <v>0</v>
      </c>
      <c r="E12" s="243">
        <v>0</v>
      </c>
      <c r="F12" s="243">
        <v>0</v>
      </c>
      <c r="G12" s="243">
        <v>0</v>
      </c>
      <c r="H12" s="243">
        <v>0</v>
      </c>
      <c r="I12" s="243">
        <v>0</v>
      </c>
      <c r="J12" s="243">
        <v>0</v>
      </c>
      <c r="K12" s="243">
        <v>0</v>
      </c>
      <c r="L12" s="243">
        <v>0</v>
      </c>
      <c r="M12" s="18">
        <f>SUM(F12:L12)</f>
        <v>0</v>
      </c>
      <c r="N12" s="169"/>
    </row>
    <row r="13" spans="1:14" ht="14.25" customHeight="1">
      <c r="A13" s="171"/>
      <c r="B13" s="172" t="s">
        <v>10</v>
      </c>
      <c r="C13" s="173"/>
      <c r="D13" s="174">
        <f>+D14+D16</f>
        <v>783000</v>
      </c>
      <c r="E13" s="174">
        <f t="shared" ref="E13" si="4">+E14+E16</f>
        <v>619190</v>
      </c>
      <c r="F13" s="174">
        <f t="shared" ref="F13" si="5">+F14+F16</f>
        <v>163810</v>
      </c>
      <c r="G13" s="174">
        <f t="shared" ref="G13:M13" si="6">+G14+G16</f>
        <v>0</v>
      </c>
      <c r="H13" s="174">
        <f t="shared" si="6"/>
        <v>0</v>
      </c>
      <c r="I13" s="174">
        <f t="shared" si="6"/>
        <v>0</v>
      </c>
      <c r="J13" s="174">
        <f t="shared" si="6"/>
        <v>0</v>
      </c>
      <c r="K13" s="174">
        <f t="shared" si="6"/>
        <v>0</v>
      </c>
      <c r="L13" s="174">
        <f t="shared" si="6"/>
        <v>0</v>
      </c>
      <c r="M13" s="216">
        <f t="shared" si="6"/>
        <v>163810</v>
      </c>
      <c r="N13" s="169"/>
    </row>
    <row r="14" spans="1:14" ht="14.25" customHeight="1">
      <c r="A14" s="167"/>
      <c r="B14" s="175" t="s">
        <v>11</v>
      </c>
      <c r="C14" s="852"/>
      <c r="D14" s="853">
        <f>+D15</f>
        <v>349415</v>
      </c>
      <c r="E14" s="853">
        <f t="shared" ref="E14:L14" si="7">+E15</f>
        <v>274500</v>
      </c>
      <c r="F14" s="853">
        <f t="shared" si="7"/>
        <v>74915</v>
      </c>
      <c r="G14" s="853">
        <f t="shared" si="7"/>
        <v>0</v>
      </c>
      <c r="H14" s="853">
        <f t="shared" si="7"/>
        <v>0</v>
      </c>
      <c r="I14" s="853">
        <f t="shared" si="7"/>
        <v>0</v>
      </c>
      <c r="J14" s="853">
        <f t="shared" si="7"/>
        <v>0</v>
      </c>
      <c r="K14" s="853">
        <f t="shared" si="7"/>
        <v>0</v>
      </c>
      <c r="L14" s="853">
        <f t="shared" si="7"/>
        <v>0</v>
      </c>
      <c r="M14" s="854">
        <f>+M15</f>
        <v>74915</v>
      </c>
      <c r="N14" s="824"/>
    </row>
    <row r="15" spans="1:14" ht="13.5" customHeight="1">
      <c r="A15" s="177"/>
      <c r="B15" s="178" t="s">
        <v>12</v>
      </c>
      <c r="C15" s="179"/>
      <c r="D15" s="855">
        <f>+D24+D35</f>
        <v>349415</v>
      </c>
      <c r="E15" s="855">
        <f t="shared" ref="E15" si="8">+E24+E35</f>
        <v>274500</v>
      </c>
      <c r="F15" s="855">
        <f t="shared" ref="F15" si="9">+F24+F35</f>
        <v>74915</v>
      </c>
      <c r="G15" s="855">
        <f t="shared" ref="G15:L15" si="10">+G24+G35</f>
        <v>0</v>
      </c>
      <c r="H15" s="855">
        <f t="shared" si="10"/>
        <v>0</v>
      </c>
      <c r="I15" s="855">
        <f t="shared" si="10"/>
        <v>0</v>
      </c>
      <c r="J15" s="855">
        <f t="shared" si="10"/>
        <v>0</v>
      </c>
      <c r="K15" s="855">
        <f t="shared" si="10"/>
        <v>0</v>
      </c>
      <c r="L15" s="855">
        <f t="shared" si="10"/>
        <v>0</v>
      </c>
      <c r="M15" s="856">
        <f>+I15+H15+G15+F15+J15+K15+L15</f>
        <v>74915</v>
      </c>
      <c r="N15" s="169"/>
    </row>
    <row r="16" spans="1:14" ht="14.25" customHeight="1">
      <c r="A16" s="167"/>
      <c r="B16" s="857" t="s">
        <v>18</v>
      </c>
      <c r="C16" s="858"/>
      <c r="D16" s="182">
        <f>SUM(D17)</f>
        <v>433585</v>
      </c>
      <c r="E16" s="182">
        <f t="shared" ref="E16" si="11">SUM(E17)</f>
        <v>344690</v>
      </c>
      <c r="F16" s="182">
        <f t="shared" ref="F16:M16" si="12">SUM(F17)</f>
        <v>88895</v>
      </c>
      <c r="G16" s="853">
        <f t="shared" si="12"/>
        <v>0</v>
      </c>
      <c r="H16" s="853">
        <f t="shared" si="12"/>
        <v>0</v>
      </c>
      <c r="I16" s="853">
        <f t="shared" si="12"/>
        <v>0</v>
      </c>
      <c r="J16" s="853">
        <f t="shared" si="12"/>
        <v>0</v>
      </c>
      <c r="K16" s="853">
        <f t="shared" si="12"/>
        <v>0</v>
      </c>
      <c r="L16" s="853">
        <f t="shared" si="12"/>
        <v>0</v>
      </c>
      <c r="M16" s="854">
        <f t="shared" si="12"/>
        <v>88895</v>
      </c>
      <c r="N16" s="824"/>
    </row>
    <row r="17" spans="1:15" ht="12" customHeight="1">
      <c r="A17" s="183"/>
      <c r="B17" s="859" t="s">
        <v>20</v>
      </c>
      <c r="C17" s="860"/>
      <c r="D17" s="855">
        <f>+D26+D37+D46+D53+D60+D67</f>
        <v>433585</v>
      </c>
      <c r="E17" s="855">
        <f t="shared" ref="E17" si="13">+E26+E37+E46+E53+E60+E67</f>
        <v>344690</v>
      </c>
      <c r="F17" s="855">
        <f t="shared" ref="F17:L17" si="14">+F26+F37+F46+F53+F60+F67</f>
        <v>88895</v>
      </c>
      <c r="G17" s="855">
        <f t="shared" si="14"/>
        <v>0</v>
      </c>
      <c r="H17" s="855">
        <f t="shared" si="14"/>
        <v>0</v>
      </c>
      <c r="I17" s="855">
        <f t="shared" si="14"/>
        <v>0</v>
      </c>
      <c r="J17" s="855">
        <f t="shared" si="14"/>
        <v>0</v>
      </c>
      <c r="K17" s="855">
        <f t="shared" si="14"/>
        <v>0</v>
      </c>
      <c r="L17" s="855">
        <f t="shared" si="14"/>
        <v>0</v>
      </c>
      <c r="M17" s="856">
        <f>+I17+H17+G17+F17+J17+K17+L17</f>
        <v>88895</v>
      </c>
      <c r="N17" s="823"/>
    </row>
    <row r="18" spans="1:15" s="865" customFormat="1" ht="14.25" customHeight="1">
      <c r="A18" s="167"/>
      <c r="B18" s="626" t="s">
        <v>22</v>
      </c>
      <c r="C18" s="862"/>
      <c r="D18" s="483">
        <f>+D19</f>
        <v>433585</v>
      </c>
      <c r="E18" s="483">
        <f t="shared" ref="E18:J19" si="15">+E19</f>
        <v>316615</v>
      </c>
      <c r="F18" s="483">
        <f t="shared" si="15"/>
        <v>91893</v>
      </c>
      <c r="G18" s="863">
        <f t="shared" si="15"/>
        <v>25077</v>
      </c>
      <c r="H18" s="863">
        <f t="shared" si="15"/>
        <v>0</v>
      </c>
      <c r="I18" s="863">
        <f t="shared" si="15"/>
        <v>0</v>
      </c>
      <c r="J18" s="863">
        <f t="shared" si="15"/>
        <v>0</v>
      </c>
      <c r="K18" s="863">
        <f t="shared" ref="J18:L19" si="16">+K19</f>
        <v>0</v>
      </c>
      <c r="L18" s="863">
        <f t="shared" si="16"/>
        <v>0</v>
      </c>
      <c r="M18" s="3469" t="s">
        <v>61</v>
      </c>
      <c r="N18" s="864"/>
    </row>
    <row r="19" spans="1:15" s="865" customFormat="1" ht="14.25" customHeight="1">
      <c r="A19" s="167"/>
      <c r="B19" s="857" t="s">
        <v>18</v>
      </c>
      <c r="C19" s="858"/>
      <c r="D19" s="182">
        <f>+D20</f>
        <v>433585</v>
      </c>
      <c r="E19" s="182">
        <f t="shared" si="15"/>
        <v>316615</v>
      </c>
      <c r="F19" s="182">
        <f t="shared" si="15"/>
        <v>91893</v>
      </c>
      <c r="G19" s="853">
        <f t="shared" si="15"/>
        <v>25077</v>
      </c>
      <c r="H19" s="853">
        <f t="shared" si="15"/>
        <v>0</v>
      </c>
      <c r="I19" s="853">
        <f t="shared" si="15"/>
        <v>0</v>
      </c>
      <c r="J19" s="853">
        <f t="shared" si="16"/>
        <v>0</v>
      </c>
      <c r="K19" s="853">
        <f t="shared" si="16"/>
        <v>0</v>
      </c>
      <c r="L19" s="853">
        <f t="shared" si="16"/>
        <v>0</v>
      </c>
      <c r="M19" s="3470"/>
      <c r="N19" s="824"/>
    </row>
    <row r="20" spans="1:15" s="865" customFormat="1" ht="12.75" customHeight="1" thickBot="1">
      <c r="A20" s="866"/>
      <c r="B20" s="867" t="s">
        <v>20</v>
      </c>
      <c r="C20" s="868"/>
      <c r="D20" s="869">
        <f>+D31+D42+D49+D56+D63+D70</f>
        <v>433585</v>
      </c>
      <c r="E20" s="869">
        <f t="shared" ref="E20" si="17">+E31+E42+E49+E56+E63+E70</f>
        <v>316615</v>
      </c>
      <c r="F20" s="869">
        <f t="shared" ref="F20:L20" si="18">+F31+F42+F49+F56+F63+F70</f>
        <v>91893</v>
      </c>
      <c r="G20" s="869">
        <f t="shared" si="18"/>
        <v>25077</v>
      </c>
      <c r="H20" s="869">
        <f t="shared" si="18"/>
        <v>0</v>
      </c>
      <c r="I20" s="869">
        <f t="shared" si="18"/>
        <v>0</v>
      </c>
      <c r="J20" s="869">
        <f t="shared" si="18"/>
        <v>0</v>
      </c>
      <c r="K20" s="869">
        <f t="shared" si="18"/>
        <v>0</v>
      </c>
      <c r="L20" s="869">
        <f t="shared" si="18"/>
        <v>0</v>
      </c>
      <c r="M20" s="3471"/>
      <c r="N20" s="870"/>
      <c r="O20" s="871">
        <f>D20-D17</f>
        <v>0</v>
      </c>
    </row>
    <row r="21" spans="1:15" ht="39" hidden="1" customHeight="1">
      <c r="A21" s="3439" t="s">
        <v>63</v>
      </c>
      <c r="B21" s="187" t="s">
        <v>262</v>
      </c>
      <c r="C21" s="188" t="s">
        <v>111</v>
      </c>
      <c r="D21" s="872"/>
      <c r="E21" s="873"/>
      <c r="F21" s="873"/>
      <c r="G21" s="873"/>
      <c r="H21" s="873"/>
      <c r="I21" s="873"/>
      <c r="J21" s="873"/>
      <c r="K21" s="873"/>
      <c r="L21" s="873"/>
      <c r="M21" s="874"/>
      <c r="N21" s="3370"/>
    </row>
    <row r="22" spans="1:15" ht="15" hidden="1" customHeight="1">
      <c r="A22" s="3440"/>
      <c r="B22" s="826" t="s">
        <v>10</v>
      </c>
      <c r="C22" s="875"/>
      <c r="D22" s="876"/>
      <c r="E22" s="876">
        <f t="shared" ref="E22" si="19">+E23+E25</f>
        <v>0</v>
      </c>
      <c r="F22" s="876">
        <f>+F23+F25</f>
        <v>0</v>
      </c>
      <c r="G22" s="876">
        <f>+G23+G25</f>
        <v>0</v>
      </c>
      <c r="H22" s="876">
        <f>+H23+H25</f>
        <v>0</v>
      </c>
      <c r="I22" s="876">
        <f>+I23+I25</f>
        <v>0</v>
      </c>
      <c r="J22" s="876"/>
      <c r="K22" s="876"/>
      <c r="L22" s="876"/>
      <c r="M22" s="877" t="e">
        <f>M23+M25</f>
        <v>#REF!</v>
      </c>
      <c r="N22" s="3372"/>
    </row>
    <row r="23" spans="1:15" ht="12.75" hidden="1" customHeight="1">
      <c r="A23" s="3440"/>
      <c r="B23" s="783" t="s">
        <v>24</v>
      </c>
      <c r="C23" s="3450" t="s">
        <v>138</v>
      </c>
      <c r="D23" s="878"/>
      <c r="E23" s="878">
        <f t="shared" ref="E23:I23" si="20">+E24</f>
        <v>0</v>
      </c>
      <c r="F23" s="878">
        <f t="shared" si="20"/>
        <v>0</v>
      </c>
      <c r="G23" s="878">
        <f t="shared" si="20"/>
        <v>0</v>
      </c>
      <c r="H23" s="878">
        <f t="shared" si="20"/>
        <v>0</v>
      </c>
      <c r="I23" s="878">
        <f t="shared" si="20"/>
        <v>0</v>
      </c>
      <c r="J23" s="878"/>
      <c r="K23" s="878"/>
      <c r="L23" s="878"/>
      <c r="M23" s="879" t="e">
        <f>+M24</f>
        <v>#REF!</v>
      </c>
      <c r="N23" s="3372"/>
    </row>
    <row r="24" spans="1:15" ht="12.75" hidden="1" customHeight="1">
      <c r="A24" s="3440"/>
      <c r="B24" s="190" t="s">
        <v>12</v>
      </c>
      <c r="C24" s="3388"/>
      <c r="D24" s="880"/>
      <c r="E24" s="880">
        <v>0</v>
      </c>
      <c r="F24" s="191">
        <v>0</v>
      </c>
      <c r="G24" s="191">
        <v>0</v>
      </c>
      <c r="H24" s="191">
        <v>0</v>
      </c>
      <c r="I24" s="191">
        <v>0</v>
      </c>
      <c r="J24" s="191"/>
      <c r="K24" s="191"/>
      <c r="L24" s="191"/>
      <c r="M24" s="881" t="e">
        <f>+#REF!+I24+H24+G24+F24+#REF!</f>
        <v>#REF!</v>
      </c>
      <c r="N24" s="3372"/>
    </row>
    <row r="25" spans="1:15" ht="12.75" hidden="1" customHeight="1">
      <c r="A25" s="3440"/>
      <c r="B25" s="882" t="s">
        <v>18</v>
      </c>
      <c r="C25" s="3388"/>
      <c r="D25" s="883"/>
      <c r="E25" s="883">
        <f t="shared" ref="E25:I25" si="21">E26</f>
        <v>0</v>
      </c>
      <c r="F25" s="883">
        <f t="shared" si="21"/>
        <v>0</v>
      </c>
      <c r="G25" s="883">
        <f t="shared" si="21"/>
        <v>0</v>
      </c>
      <c r="H25" s="883">
        <f t="shared" si="21"/>
        <v>0</v>
      </c>
      <c r="I25" s="883">
        <f t="shared" si="21"/>
        <v>0</v>
      </c>
      <c r="J25" s="883"/>
      <c r="K25" s="883"/>
      <c r="L25" s="883"/>
      <c r="M25" s="879" t="e">
        <f>+M26</f>
        <v>#REF!</v>
      </c>
      <c r="N25" s="3372"/>
    </row>
    <row r="26" spans="1:15" ht="12" hidden="1">
      <c r="A26" s="3440"/>
      <c r="B26" s="884" t="s">
        <v>20</v>
      </c>
      <c r="C26" s="3377"/>
      <c r="D26" s="885"/>
      <c r="E26" s="2803">
        <v>0</v>
      </c>
      <c r="F26" s="151">
        <v>0</v>
      </c>
      <c r="G26" s="151">
        <v>0</v>
      </c>
      <c r="H26" s="151">
        <v>0</v>
      </c>
      <c r="I26" s="151">
        <v>0</v>
      </c>
      <c r="J26" s="151"/>
      <c r="K26" s="151"/>
      <c r="L26" s="151"/>
      <c r="M26" s="881" t="e">
        <f>+#REF!+I26+H26+G26+F26+#REF!</f>
        <v>#REF!</v>
      </c>
      <c r="N26" s="3372"/>
    </row>
    <row r="27" spans="1:15" ht="12.75" hidden="1" customHeight="1">
      <c r="A27" s="3135"/>
      <c r="B27" s="826" t="s">
        <v>22</v>
      </c>
      <c r="C27" s="886"/>
      <c r="D27" s="876"/>
      <c r="E27" s="876">
        <f t="shared" ref="E27" si="22">E28+E30</f>
        <v>0</v>
      </c>
      <c r="F27" s="876">
        <f>F28+F30</f>
        <v>0</v>
      </c>
      <c r="G27" s="827">
        <f>G28+G30</f>
        <v>0</v>
      </c>
      <c r="H27" s="827">
        <f>H28+H30</f>
        <v>0</v>
      </c>
      <c r="I27" s="827">
        <f>I28+I30</f>
        <v>0</v>
      </c>
      <c r="J27" s="887"/>
      <c r="K27" s="887"/>
      <c r="L27" s="887"/>
      <c r="M27" s="3455" t="s">
        <v>61</v>
      </c>
      <c r="N27" s="3372"/>
    </row>
    <row r="28" spans="1:15" ht="12" hidden="1" customHeight="1">
      <c r="A28" s="3135"/>
      <c r="B28" s="888" t="s">
        <v>24</v>
      </c>
      <c r="C28" s="3450" t="s">
        <v>138</v>
      </c>
      <c r="D28" s="878"/>
      <c r="E28" s="878"/>
      <c r="F28" s="878">
        <f t="shared" ref="F28:I28" si="23">F29</f>
        <v>0</v>
      </c>
      <c r="G28" s="889">
        <f t="shared" si="23"/>
        <v>0</v>
      </c>
      <c r="H28" s="889">
        <f t="shared" si="23"/>
        <v>0</v>
      </c>
      <c r="I28" s="889">
        <f t="shared" si="23"/>
        <v>0</v>
      </c>
      <c r="J28" s="890"/>
      <c r="K28" s="890"/>
      <c r="L28" s="890"/>
      <c r="M28" s="3456"/>
      <c r="N28" s="3372"/>
    </row>
    <row r="29" spans="1:15" ht="12" hidden="1" customHeight="1">
      <c r="A29" s="3135"/>
      <c r="B29" s="194" t="s">
        <v>13</v>
      </c>
      <c r="C29" s="3388"/>
      <c r="D29" s="880"/>
      <c r="E29" s="834"/>
      <c r="F29" s="834">
        <v>0</v>
      </c>
      <c r="G29" s="834">
        <v>0</v>
      </c>
      <c r="H29" s="834">
        <v>0</v>
      </c>
      <c r="I29" s="834">
        <v>0</v>
      </c>
      <c r="J29" s="258"/>
      <c r="K29" s="258"/>
      <c r="L29" s="258"/>
      <c r="M29" s="3456"/>
      <c r="N29" s="3372"/>
    </row>
    <row r="30" spans="1:15" ht="13.5" hidden="1" customHeight="1">
      <c r="A30" s="3135"/>
      <c r="B30" s="891" t="s">
        <v>18</v>
      </c>
      <c r="C30" s="3388"/>
      <c r="D30" s="883"/>
      <c r="E30" s="883">
        <f t="shared" ref="E30:I30" si="24">E31</f>
        <v>0</v>
      </c>
      <c r="F30" s="883">
        <f t="shared" si="24"/>
        <v>0</v>
      </c>
      <c r="G30" s="838">
        <f t="shared" si="24"/>
        <v>0</v>
      </c>
      <c r="H30" s="838">
        <f t="shared" si="24"/>
        <v>0</v>
      </c>
      <c r="I30" s="838">
        <f t="shared" si="24"/>
        <v>0</v>
      </c>
      <c r="J30" s="839"/>
      <c r="K30" s="839"/>
      <c r="L30" s="839"/>
      <c r="M30" s="3456"/>
      <c r="N30" s="3372"/>
    </row>
    <row r="31" spans="1:15" ht="13.5" hidden="1" customHeight="1" thickBot="1">
      <c r="A31" s="3136"/>
      <c r="B31" s="892" t="s">
        <v>20</v>
      </c>
      <c r="C31" s="3381"/>
      <c r="D31" s="686"/>
      <c r="E31" s="821">
        <v>0</v>
      </c>
      <c r="F31" s="821">
        <v>0</v>
      </c>
      <c r="G31" s="821">
        <v>0</v>
      </c>
      <c r="H31" s="821">
        <v>0</v>
      </c>
      <c r="I31" s="821">
        <v>0</v>
      </c>
      <c r="J31" s="129"/>
      <c r="K31" s="129"/>
      <c r="L31" s="129"/>
      <c r="M31" s="3457"/>
      <c r="N31" s="3373"/>
    </row>
    <row r="32" spans="1:15" ht="24.75" customHeight="1">
      <c r="A32" s="3439" t="s">
        <v>63</v>
      </c>
      <c r="B32" s="187" t="s">
        <v>451</v>
      </c>
      <c r="C32" s="188" t="s">
        <v>111</v>
      </c>
      <c r="D32" s="872"/>
      <c r="E32" s="873"/>
      <c r="F32" s="873"/>
      <c r="G32" s="873"/>
      <c r="H32" s="873"/>
      <c r="I32" s="873"/>
      <c r="J32" s="873"/>
      <c r="K32" s="873"/>
      <c r="L32" s="873"/>
      <c r="M32" s="874"/>
      <c r="N32" s="3370" t="s">
        <v>137</v>
      </c>
    </row>
    <row r="33" spans="1:14" ht="13.5" customHeight="1">
      <c r="A33" s="3440"/>
      <c r="B33" s="826" t="s">
        <v>10</v>
      </c>
      <c r="C33" s="893"/>
      <c r="D33" s="876">
        <f>+D34+D36</f>
        <v>746100</v>
      </c>
      <c r="E33" s="876">
        <f t="shared" ref="E33" si="25">+E34+E36</f>
        <v>593887</v>
      </c>
      <c r="F33" s="876">
        <f t="shared" ref="F33" si="26">+F34+F36</f>
        <v>152213</v>
      </c>
      <c r="G33" s="876">
        <f t="shared" ref="G33:L33" si="27">+G34+G36</f>
        <v>0</v>
      </c>
      <c r="H33" s="894">
        <f t="shared" si="27"/>
        <v>0</v>
      </c>
      <c r="I33" s="894">
        <f t="shared" si="27"/>
        <v>0</v>
      </c>
      <c r="J33" s="894">
        <f t="shared" si="27"/>
        <v>0</v>
      </c>
      <c r="K33" s="894">
        <f t="shared" si="27"/>
        <v>0</v>
      </c>
      <c r="L33" s="894">
        <f t="shared" si="27"/>
        <v>0</v>
      </c>
      <c r="M33" s="877">
        <f>M34+M36</f>
        <v>152213</v>
      </c>
      <c r="N33" s="3372"/>
    </row>
    <row r="34" spans="1:14" ht="11.25" customHeight="1">
      <c r="A34" s="3440"/>
      <c r="B34" s="783" t="s">
        <v>24</v>
      </c>
      <c r="C34" s="3450" t="s">
        <v>138</v>
      </c>
      <c r="D34" s="878">
        <f>+D35</f>
        <v>349415</v>
      </c>
      <c r="E34" s="878">
        <f t="shared" ref="E34:L34" si="28">+E35</f>
        <v>274500</v>
      </c>
      <c r="F34" s="878">
        <f t="shared" si="28"/>
        <v>74915</v>
      </c>
      <c r="G34" s="878">
        <f t="shared" si="28"/>
        <v>0</v>
      </c>
      <c r="H34" s="1854">
        <f t="shared" si="28"/>
        <v>0</v>
      </c>
      <c r="I34" s="1854">
        <f t="shared" si="28"/>
        <v>0</v>
      </c>
      <c r="J34" s="1854">
        <f t="shared" si="28"/>
        <v>0</v>
      </c>
      <c r="K34" s="1854">
        <f t="shared" si="28"/>
        <v>0</v>
      </c>
      <c r="L34" s="1854">
        <f t="shared" si="28"/>
        <v>0</v>
      </c>
      <c r="M34" s="879">
        <f>+M35</f>
        <v>74915</v>
      </c>
      <c r="N34" s="3372"/>
    </row>
    <row r="35" spans="1:14" ht="13.5" customHeight="1">
      <c r="A35" s="3440"/>
      <c r="B35" s="190" t="s">
        <v>12</v>
      </c>
      <c r="C35" s="3388"/>
      <c r="D35" s="280">
        <f>E35+F35+G35+H35+I35+J35+K35+L35</f>
        <v>349415</v>
      </c>
      <c r="E35" s="1333">
        <v>274500</v>
      </c>
      <c r="F35" s="191">
        <f>69883+5032</f>
        <v>74915</v>
      </c>
      <c r="G35" s="191">
        <v>0</v>
      </c>
      <c r="H35" s="1855">
        <v>0</v>
      </c>
      <c r="I35" s="1855">
        <v>0</v>
      </c>
      <c r="J35" s="1855">
        <v>0</v>
      </c>
      <c r="K35" s="1855">
        <v>0</v>
      </c>
      <c r="L35" s="1855">
        <v>0</v>
      </c>
      <c r="M35" s="881">
        <f>SUM(F35:L35)</f>
        <v>74915</v>
      </c>
      <c r="N35" s="3372"/>
    </row>
    <row r="36" spans="1:14" ht="13.5" customHeight="1">
      <c r="A36" s="3440"/>
      <c r="B36" s="882" t="s">
        <v>18</v>
      </c>
      <c r="C36" s="3388"/>
      <c r="D36" s="883">
        <f>+D37</f>
        <v>396685</v>
      </c>
      <c r="E36" s="883">
        <f t="shared" ref="E36:L36" si="29">E37</f>
        <v>319387</v>
      </c>
      <c r="F36" s="883">
        <f t="shared" si="29"/>
        <v>77298</v>
      </c>
      <c r="G36" s="883">
        <f t="shared" si="29"/>
        <v>0</v>
      </c>
      <c r="H36" s="850">
        <f t="shared" si="29"/>
        <v>0</v>
      </c>
      <c r="I36" s="850">
        <f t="shared" si="29"/>
        <v>0</v>
      </c>
      <c r="J36" s="850">
        <f t="shared" si="29"/>
        <v>0</v>
      </c>
      <c r="K36" s="850">
        <f t="shared" si="29"/>
        <v>0</v>
      </c>
      <c r="L36" s="850">
        <f t="shared" si="29"/>
        <v>0</v>
      </c>
      <c r="M36" s="879">
        <f>+M37</f>
        <v>77298</v>
      </c>
      <c r="N36" s="3372"/>
    </row>
    <row r="37" spans="1:14" ht="12">
      <c r="A37" s="3440"/>
      <c r="B37" s="884" t="s">
        <v>20</v>
      </c>
      <c r="C37" s="3377"/>
      <c r="D37" s="280">
        <f>E37+F37+G37+H37+I37+J37+K37+L37</f>
        <v>396685</v>
      </c>
      <c r="E37" s="1333">
        <v>319387</v>
      </c>
      <c r="F37" s="151">
        <f>75707+1591</f>
        <v>77298</v>
      </c>
      <c r="G37" s="151">
        <v>0</v>
      </c>
      <c r="H37" s="1856">
        <v>0</v>
      </c>
      <c r="I37" s="1856">
        <v>0</v>
      </c>
      <c r="J37" s="1856">
        <v>0</v>
      </c>
      <c r="K37" s="1856">
        <v>0</v>
      </c>
      <c r="L37" s="1856">
        <v>0</v>
      </c>
      <c r="M37" s="881">
        <f>SUM(F37:L37)</f>
        <v>77298</v>
      </c>
      <c r="N37" s="3372"/>
    </row>
    <row r="38" spans="1:14" ht="13.5" customHeight="1">
      <c r="A38" s="3135"/>
      <c r="B38" s="826" t="s">
        <v>22</v>
      </c>
      <c r="C38" s="886"/>
      <c r="D38" s="876">
        <f>+D41</f>
        <v>396685</v>
      </c>
      <c r="E38" s="876">
        <f t="shared" ref="E38" si="30">E39+E41</f>
        <v>291312</v>
      </c>
      <c r="F38" s="876">
        <f t="shared" ref="F38:L38" si="31">F39+F41</f>
        <v>80296</v>
      </c>
      <c r="G38" s="876">
        <f t="shared" si="31"/>
        <v>25077</v>
      </c>
      <c r="H38" s="894">
        <f t="shared" si="31"/>
        <v>0</v>
      </c>
      <c r="I38" s="894">
        <f t="shared" si="31"/>
        <v>0</v>
      </c>
      <c r="J38" s="894">
        <f t="shared" si="31"/>
        <v>0</v>
      </c>
      <c r="K38" s="894">
        <f t="shared" si="31"/>
        <v>0</v>
      </c>
      <c r="L38" s="894">
        <f t="shared" si="31"/>
        <v>0</v>
      </c>
      <c r="M38" s="3455" t="s">
        <v>61</v>
      </c>
      <c r="N38" s="3372"/>
    </row>
    <row r="39" spans="1:14" ht="12" hidden="1" customHeight="1">
      <c r="A39" s="3135"/>
      <c r="B39" s="888" t="s">
        <v>24</v>
      </c>
      <c r="C39" s="3450" t="s">
        <v>138</v>
      </c>
      <c r="D39" s="878">
        <f t="shared" ref="D39:G39" si="32">D40</f>
        <v>0</v>
      </c>
      <c r="E39" s="878">
        <f t="shared" si="32"/>
        <v>0</v>
      </c>
      <c r="F39" s="878">
        <f t="shared" si="32"/>
        <v>0</v>
      </c>
      <c r="G39" s="878">
        <f t="shared" si="32"/>
        <v>0</v>
      </c>
      <c r="H39" s="1854"/>
      <c r="I39" s="1854"/>
      <c r="J39" s="1854"/>
      <c r="K39" s="1854"/>
      <c r="L39" s="1854"/>
      <c r="M39" s="3456"/>
      <c r="N39" s="3372"/>
    </row>
    <row r="40" spans="1:14" ht="12" hidden="1" customHeight="1">
      <c r="A40" s="3135"/>
      <c r="B40" s="194" t="s">
        <v>13</v>
      </c>
      <c r="C40" s="3388"/>
      <c r="D40" s="280">
        <f>E40+F40+G40+H40+I40+J40+K40+L40</f>
        <v>0</v>
      </c>
      <c r="E40" s="834"/>
      <c r="F40" s="834">
        <v>0</v>
      </c>
      <c r="G40" s="191">
        <v>0</v>
      </c>
      <c r="H40" s="1855"/>
      <c r="I40" s="1855"/>
      <c r="J40" s="1855"/>
      <c r="K40" s="1855"/>
      <c r="L40" s="1855"/>
      <c r="M40" s="3456"/>
      <c r="N40" s="3372"/>
    </row>
    <row r="41" spans="1:14" ht="13.5" customHeight="1">
      <c r="A41" s="3135"/>
      <c r="B41" s="891" t="s">
        <v>18</v>
      </c>
      <c r="C41" s="3388"/>
      <c r="D41" s="883">
        <f>+D42</f>
        <v>396685</v>
      </c>
      <c r="E41" s="883">
        <f t="shared" ref="E41:L41" si="33">E42</f>
        <v>291312</v>
      </c>
      <c r="F41" s="883">
        <f t="shared" si="33"/>
        <v>80296</v>
      </c>
      <c r="G41" s="883">
        <f t="shared" si="33"/>
        <v>25077</v>
      </c>
      <c r="H41" s="850">
        <f t="shared" si="33"/>
        <v>0</v>
      </c>
      <c r="I41" s="850">
        <f t="shared" si="33"/>
        <v>0</v>
      </c>
      <c r="J41" s="850">
        <f t="shared" si="33"/>
        <v>0</v>
      </c>
      <c r="K41" s="850">
        <f t="shared" si="33"/>
        <v>0</v>
      </c>
      <c r="L41" s="850">
        <f t="shared" si="33"/>
        <v>0</v>
      </c>
      <c r="M41" s="3456"/>
      <c r="N41" s="3372"/>
    </row>
    <row r="42" spans="1:14" ht="12.75" customHeight="1" thickBot="1">
      <c r="A42" s="3136"/>
      <c r="B42" s="892" t="s">
        <v>20</v>
      </c>
      <c r="C42" s="3381"/>
      <c r="D42" s="280">
        <f>E42+F42+G42+H42+I42+J42+K42+L42</f>
        <v>396685</v>
      </c>
      <c r="E42" s="1333">
        <v>291312</v>
      </c>
      <c r="F42" s="821">
        <f>79186+1110</f>
        <v>80296</v>
      </c>
      <c r="G42" s="821">
        <f>24105-909+1881</f>
        <v>25077</v>
      </c>
      <c r="H42" s="1857">
        <v>0</v>
      </c>
      <c r="I42" s="1857">
        <v>0</v>
      </c>
      <c r="J42" s="1857">
        <v>0</v>
      </c>
      <c r="K42" s="1857">
        <v>0</v>
      </c>
      <c r="L42" s="1857">
        <v>0</v>
      </c>
      <c r="M42" s="3457"/>
      <c r="N42" s="3373"/>
    </row>
    <row r="43" spans="1:14" ht="36" hidden="1" customHeight="1">
      <c r="A43" s="3439" t="s">
        <v>64</v>
      </c>
      <c r="B43" s="187" t="s">
        <v>331</v>
      </c>
      <c r="C43" s="188" t="s">
        <v>111</v>
      </c>
      <c r="D43" s="872"/>
      <c r="E43" s="873"/>
      <c r="F43" s="873"/>
      <c r="G43" s="873"/>
      <c r="H43" s="873"/>
      <c r="I43" s="873"/>
      <c r="J43" s="873"/>
      <c r="K43" s="873"/>
      <c r="L43" s="873"/>
      <c r="M43" s="874"/>
      <c r="N43" s="3175" t="s">
        <v>139</v>
      </c>
    </row>
    <row r="44" spans="1:14" ht="15" hidden="1" customHeight="1">
      <c r="A44" s="3440"/>
      <c r="B44" s="826" t="s">
        <v>10</v>
      </c>
      <c r="C44" s="893"/>
      <c r="D44" s="876"/>
      <c r="E44" s="876">
        <v>0</v>
      </c>
      <c r="F44" s="876">
        <f t="shared" ref="F44:J45" si="34">F45</f>
        <v>0</v>
      </c>
      <c r="G44" s="876">
        <f t="shared" ref="G44:L44" si="35">+G45+G47</f>
        <v>0</v>
      </c>
      <c r="H44" s="876">
        <f t="shared" si="35"/>
        <v>0</v>
      </c>
      <c r="I44" s="876">
        <f t="shared" si="35"/>
        <v>0</v>
      </c>
      <c r="J44" s="876">
        <f t="shared" si="35"/>
        <v>0</v>
      </c>
      <c r="K44" s="876">
        <f t="shared" si="35"/>
        <v>0</v>
      </c>
      <c r="L44" s="876">
        <f t="shared" si="35"/>
        <v>0</v>
      </c>
      <c r="M44" s="877" t="e">
        <f>M45</f>
        <v>#REF!</v>
      </c>
      <c r="N44" s="3159"/>
    </row>
    <row r="45" spans="1:14" ht="12" hidden="1">
      <c r="A45" s="3440"/>
      <c r="B45" s="895" t="s">
        <v>18</v>
      </c>
      <c r="C45" s="3109" t="s">
        <v>140</v>
      </c>
      <c r="D45" s="883"/>
      <c r="E45" s="883">
        <v>0</v>
      </c>
      <c r="F45" s="883">
        <f t="shared" si="34"/>
        <v>0</v>
      </c>
      <c r="G45" s="883">
        <f t="shared" si="34"/>
        <v>0</v>
      </c>
      <c r="H45" s="883">
        <f t="shared" si="34"/>
        <v>0</v>
      </c>
      <c r="I45" s="883">
        <f t="shared" si="34"/>
        <v>0</v>
      </c>
      <c r="J45" s="883">
        <f t="shared" si="34"/>
        <v>0</v>
      </c>
      <c r="K45" s="883">
        <f>K46</f>
        <v>0</v>
      </c>
      <c r="L45" s="883">
        <f>L46</f>
        <v>0</v>
      </c>
      <c r="M45" s="879" t="e">
        <f>+M46</f>
        <v>#REF!</v>
      </c>
      <c r="N45" s="3159"/>
    </row>
    <row r="46" spans="1:14" ht="12" hidden="1">
      <c r="A46" s="3440"/>
      <c r="B46" s="896" t="s">
        <v>20</v>
      </c>
      <c r="C46" s="3377"/>
      <c r="D46" s="880"/>
      <c r="E46" s="880">
        <v>0</v>
      </c>
      <c r="F46" s="151">
        <v>0</v>
      </c>
      <c r="G46" s="151">
        <v>0</v>
      </c>
      <c r="H46" s="151">
        <v>0</v>
      </c>
      <c r="I46" s="151">
        <v>0</v>
      </c>
      <c r="J46" s="151">
        <v>0</v>
      </c>
      <c r="K46" s="151">
        <v>0</v>
      </c>
      <c r="L46" s="151">
        <v>0</v>
      </c>
      <c r="M46" s="881" t="e">
        <f>+I46+H46+G46+F46+#REF!</f>
        <v>#REF!</v>
      </c>
      <c r="N46" s="3159"/>
    </row>
    <row r="47" spans="1:14" ht="15" hidden="1" customHeight="1">
      <c r="A47" s="3440"/>
      <c r="B47" s="897" t="s">
        <v>22</v>
      </c>
      <c r="C47" s="197"/>
      <c r="D47" s="876"/>
      <c r="E47" s="876">
        <v>0</v>
      </c>
      <c r="F47" s="876">
        <f t="shared" ref="F47:L47" si="36">F48+F72</f>
        <v>0</v>
      </c>
      <c r="G47" s="876">
        <f t="shared" si="36"/>
        <v>0</v>
      </c>
      <c r="H47" s="876">
        <f t="shared" si="36"/>
        <v>0</v>
      </c>
      <c r="I47" s="876">
        <f t="shared" si="36"/>
        <v>0</v>
      </c>
      <c r="J47" s="876">
        <f t="shared" si="36"/>
        <v>0</v>
      </c>
      <c r="K47" s="876">
        <f t="shared" si="36"/>
        <v>0</v>
      </c>
      <c r="L47" s="876">
        <f t="shared" si="36"/>
        <v>0</v>
      </c>
      <c r="M47" s="3455" t="s">
        <v>61</v>
      </c>
      <c r="N47" s="3159"/>
    </row>
    <row r="48" spans="1:14" ht="12" hidden="1">
      <c r="A48" s="3440"/>
      <c r="B48" s="895" t="s">
        <v>18</v>
      </c>
      <c r="C48" s="3109" t="s">
        <v>140</v>
      </c>
      <c r="D48" s="883"/>
      <c r="E48" s="883">
        <v>0</v>
      </c>
      <c r="F48" s="883">
        <f t="shared" ref="F48:L48" si="37">F49</f>
        <v>0</v>
      </c>
      <c r="G48" s="883">
        <f t="shared" si="37"/>
        <v>0</v>
      </c>
      <c r="H48" s="883">
        <f t="shared" si="37"/>
        <v>0</v>
      </c>
      <c r="I48" s="883">
        <f t="shared" si="37"/>
        <v>0</v>
      </c>
      <c r="J48" s="883">
        <f t="shared" si="37"/>
        <v>0</v>
      </c>
      <c r="K48" s="883">
        <f t="shared" si="37"/>
        <v>0</v>
      </c>
      <c r="L48" s="883">
        <f t="shared" si="37"/>
        <v>0</v>
      </c>
      <c r="M48" s="3456"/>
      <c r="N48" s="3159"/>
    </row>
    <row r="49" spans="1:14" ht="12.75" hidden="1" thickBot="1">
      <c r="A49" s="3136"/>
      <c r="B49" s="898" t="s">
        <v>20</v>
      </c>
      <c r="C49" s="3381"/>
      <c r="D49" s="880"/>
      <c r="E49" s="880">
        <v>0</v>
      </c>
      <c r="F49" s="821">
        <v>0</v>
      </c>
      <c r="G49" s="821">
        <v>0</v>
      </c>
      <c r="H49" s="821">
        <v>0</v>
      </c>
      <c r="I49" s="821">
        <v>0</v>
      </c>
      <c r="J49" s="821">
        <v>0</v>
      </c>
      <c r="K49" s="821">
        <v>0</v>
      </c>
      <c r="L49" s="821">
        <v>0</v>
      </c>
      <c r="M49" s="3457"/>
      <c r="N49" s="3160"/>
    </row>
    <row r="50" spans="1:14" ht="37.5" customHeight="1">
      <c r="A50" s="3439" t="s">
        <v>64</v>
      </c>
      <c r="B50" s="187" t="s">
        <v>263</v>
      </c>
      <c r="C50" s="188" t="s">
        <v>111</v>
      </c>
      <c r="D50" s="872"/>
      <c r="E50" s="873"/>
      <c r="F50" s="873"/>
      <c r="G50" s="873"/>
      <c r="H50" s="873"/>
      <c r="I50" s="873"/>
      <c r="J50" s="873"/>
      <c r="K50" s="873"/>
      <c r="L50" s="873"/>
      <c r="M50" s="874"/>
      <c r="N50" s="3175" t="s">
        <v>139</v>
      </c>
    </row>
    <row r="51" spans="1:14" ht="15" customHeight="1">
      <c r="A51" s="3440"/>
      <c r="B51" s="826" t="s">
        <v>10</v>
      </c>
      <c r="C51" s="893"/>
      <c r="D51" s="876">
        <f>D52</f>
        <v>28500</v>
      </c>
      <c r="E51" s="876">
        <f t="shared" ref="E51:J52" si="38">E52</f>
        <v>24500</v>
      </c>
      <c r="F51" s="876">
        <f t="shared" si="38"/>
        <v>4000</v>
      </c>
      <c r="G51" s="876">
        <f t="shared" ref="G51:L51" si="39">+G52+G54</f>
        <v>0</v>
      </c>
      <c r="H51" s="876">
        <f t="shared" si="39"/>
        <v>0</v>
      </c>
      <c r="I51" s="876">
        <f t="shared" si="39"/>
        <v>0</v>
      </c>
      <c r="J51" s="876">
        <f t="shared" si="39"/>
        <v>0</v>
      </c>
      <c r="K51" s="876">
        <f t="shared" si="39"/>
        <v>0</v>
      </c>
      <c r="L51" s="876">
        <f t="shared" si="39"/>
        <v>0</v>
      </c>
      <c r="M51" s="877">
        <f>M52</f>
        <v>4000</v>
      </c>
      <c r="N51" s="3159"/>
    </row>
    <row r="52" spans="1:14" ht="12">
      <c r="A52" s="3440"/>
      <c r="B52" s="895" t="s">
        <v>18</v>
      </c>
      <c r="C52" s="3109" t="s">
        <v>140</v>
      </c>
      <c r="D52" s="883">
        <f>+D53</f>
        <v>28500</v>
      </c>
      <c r="E52" s="883">
        <f t="shared" si="38"/>
        <v>24500</v>
      </c>
      <c r="F52" s="883">
        <f t="shared" si="38"/>
        <v>4000</v>
      </c>
      <c r="G52" s="883">
        <f t="shared" si="38"/>
        <v>0</v>
      </c>
      <c r="H52" s="883">
        <f t="shared" si="38"/>
        <v>0</v>
      </c>
      <c r="I52" s="883">
        <f t="shared" si="38"/>
        <v>0</v>
      </c>
      <c r="J52" s="883">
        <f t="shared" si="38"/>
        <v>0</v>
      </c>
      <c r="K52" s="883">
        <f>K53</f>
        <v>0</v>
      </c>
      <c r="L52" s="883">
        <f>L53</f>
        <v>0</v>
      </c>
      <c r="M52" s="879">
        <f>+M53</f>
        <v>4000</v>
      </c>
      <c r="N52" s="3159"/>
    </row>
    <row r="53" spans="1:14" ht="12">
      <c r="A53" s="3440"/>
      <c r="B53" s="896" t="s">
        <v>20</v>
      </c>
      <c r="C53" s="3377"/>
      <c r="D53" s="280">
        <f>E53+F53+G53+H53+I53+J53+K53+L53</f>
        <v>28500</v>
      </c>
      <c r="E53" s="1333">
        <v>24500</v>
      </c>
      <c r="F53" s="151">
        <v>4000</v>
      </c>
      <c r="G53" s="151">
        <v>0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881">
        <f>SUM(F53:L53)</f>
        <v>4000</v>
      </c>
      <c r="N53" s="3159"/>
    </row>
    <row r="54" spans="1:14" ht="15" customHeight="1">
      <c r="A54" s="3440"/>
      <c r="B54" s="897" t="s">
        <v>22</v>
      </c>
      <c r="C54" s="197"/>
      <c r="D54" s="876">
        <f>+D55</f>
        <v>28500</v>
      </c>
      <c r="E54" s="876">
        <f t="shared" ref="E54" si="40">+E55</f>
        <v>24500</v>
      </c>
      <c r="F54" s="876">
        <f t="shared" ref="F54:I54" si="41">F55</f>
        <v>4000</v>
      </c>
      <c r="G54" s="876">
        <f t="shared" si="41"/>
        <v>0</v>
      </c>
      <c r="H54" s="876">
        <f t="shared" si="41"/>
        <v>0</v>
      </c>
      <c r="I54" s="876">
        <f t="shared" si="41"/>
        <v>0</v>
      </c>
      <c r="J54" s="876"/>
      <c r="K54" s="876"/>
      <c r="L54" s="876"/>
      <c r="M54" s="3455" t="s">
        <v>61</v>
      </c>
      <c r="N54" s="3159"/>
    </row>
    <row r="55" spans="1:14" ht="12">
      <c r="A55" s="3440"/>
      <c r="B55" s="895" t="s">
        <v>18</v>
      </c>
      <c r="C55" s="3109" t="s">
        <v>140</v>
      </c>
      <c r="D55" s="883">
        <f>+D56</f>
        <v>28500</v>
      </c>
      <c r="E55" s="883">
        <f t="shared" ref="E55:L55" si="42">E56</f>
        <v>24500</v>
      </c>
      <c r="F55" s="883">
        <f t="shared" si="42"/>
        <v>4000</v>
      </c>
      <c r="G55" s="883">
        <f t="shared" si="42"/>
        <v>0</v>
      </c>
      <c r="H55" s="883">
        <f t="shared" si="42"/>
        <v>0</v>
      </c>
      <c r="I55" s="883">
        <f t="shared" si="42"/>
        <v>0</v>
      </c>
      <c r="J55" s="883">
        <f t="shared" si="42"/>
        <v>0</v>
      </c>
      <c r="K55" s="883">
        <f t="shared" si="42"/>
        <v>0</v>
      </c>
      <c r="L55" s="883">
        <f t="shared" si="42"/>
        <v>0</v>
      </c>
      <c r="M55" s="3456"/>
      <c r="N55" s="3159"/>
    </row>
    <row r="56" spans="1:14" ht="12.75" thickBot="1">
      <c r="A56" s="3136"/>
      <c r="B56" s="898" t="s">
        <v>20</v>
      </c>
      <c r="C56" s="3381"/>
      <c r="D56" s="280">
        <f>E56+F56+G56+H56+I56+J56+K56+L56</f>
        <v>28500</v>
      </c>
      <c r="E56" s="1333">
        <v>24500</v>
      </c>
      <c r="F56" s="821">
        <v>4000</v>
      </c>
      <c r="G56" s="821">
        <v>0</v>
      </c>
      <c r="H56" s="821">
        <v>0</v>
      </c>
      <c r="I56" s="821">
        <v>0</v>
      </c>
      <c r="J56" s="821">
        <v>0</v>
      </c>
      <c r="K56" s="821">
        <v>0</v>
      </c>
      <c r="L56" s="821">
        <v>0</v>
      </c>
      <c r="M56" s="3457"/>
      <c r="N56" s="3160"/>
    </row>
    <row r="57" spans="1:14" ht="26.25" hidden="1" customHeight="1">
      <c r="A57" s="3439" t="s">
        <v>65</v>
      </c>
      <c r="B57" s="187" t="s">
        <v>416</v>
      </c>
      <c r="C57" s="188" t="s">
        <v>111</v>
      </c>
      <c r="D57" s="872"/>
      <c r="E57" s="873"/>
      <c r="F57" s="873"/>
      <c r="G57" s="873"/>
      <c r="H57" s="873"/>
      <c r="I57" s="873"/>
      <c r="J57" s="873"/>
      <c r="K57" s="873"/>
      <c r="L57" s="873"/>
      <c r="M57" s="874"/>
      <c r="N57" s="3175" t="s">
        <v>293</v>
      </c>
    </row>
    <row r="58" spans="1:14" ht="15" hidden="1" customHeight="1">
      <c r="A58" s="3440"/>
      <c r="B58" s="826" t="s">
        <v>10</v>
      </c>
      <c r="C58" s="893"/>
      <c r="D58" s="876"/>
      <c r="E58" s="876">
        <v>0</v>
      </c>
      <c r="F58" s="876">
        <f t="shared" ref="F58:J59" si="43">F59</f>
        <v>0</v>
      </c>
      <c r="G58" s="876">
        <f t="shared" ref="G58:L58" si="44">+G59+G61</f>
        <v>0</v>
      </c>
      <c r="H58" s="876">
        <f t="shared" si="44"/>
        <v>0</v>
      </c>
      <c r="I58" s="876">
        <f t="shared" si="44"/>
        <v>0</v>
      </c>
      <c r="J58" s="876">
        <f t="shared" si="44"/>
        <v>0</v>
      </c>
      <c r="K58" s="876">
        <f t="shared" si="44"/>
        <v>0</v>
      </c>
      <c r="L58" s="876">
        <f t="shared" si="44"/>
        <v>0</v>
      </c>
      <c r="M58" s="877">
        <f>M59</f>
        <v>0</v>
      </c>
      <c r="N58" s="3159"/>
    </row>
    <row r="59" spans="1:14" ht="12" hidden="1">
      <c r="A59" s="3440"/>
      <c r="B59" s="895" t="s">
        <v>18</v>
      </c>
      <c r="C59" s="3109" t="s">
        <v>294</v>
      </c>
      <c r="D59" s="883"/>
      <c r="E59" s="883">
        <v>0</v>
      </c>
      <c r="F59" s="883">
        <f t="shared" si="43"/>
        <v>0</v>
      </c>
      <c r="G59" s="883">
        <f t="shared" si="43"/>
        <v>0</v>
      </c>
      <c r="H59" s="883">
        <f t="shared" si="43"/>
        <v>0</v>
      </c>
      <c r="I59" s="883">
        <f t="shared" si="43"/>
        <v>0</v>
      </c>
      <c r="J59" s="883">
        <f t="shared" si="43"/>
        <v>0</v>
      </c>
      <c r="K59" s="883">
        <f>K60</f>
        <v>0</v>
      </c>
      <c r="L59" s="883">
        <f>L60</f>
        <v>0</v>
      </c>
      <c r="M59" s="879">
        <f>+M60</f>
        <v>0</v>
      </c>
      <c r="N59" s="3159"/>
    </row>
    <row r="60" spans="1:14" ht="12" hidden="1">
      <c r="A60" s="3440"/>
      <c r="B60" s="896" t="s">
        <v>20</v>
      </c>
      <c r="C60" s="3377"/>
      <c r="D60" s="1332"/>
      <c r="E60" s="1333">
        <v>0</v>
      </c>
      <c r="F60" s="151">
        <v>0</v>
      </c>
      <c r="G60" s="151">
        <v>0</v>
      </c>
      <c r="H60" s="151">
        <v>0</v>
      </c>
      <c r="I60" s="151">
        <v>0</v>
      </c>
      <c r="J60" s="151">
        <v>0</v>
      </c>
      <c r="K60" s="151">
        <v>0</v>
      </c>
      <c r="L60" s="151">
        <v>0</v>
      </c>
      <c r="M60" s="881">
        <f>SUM(F60:L60)</f>
        <v>0</v>
      </c>
      <c r="N60" s="3159"/>
    </row>
    <row r="61" spans="1:14" ht="15" hidden="1" customHeight="1">
      <c r="A61" s="3440"/>
      <c r="B61" s="897" t="s">
        <v>22</v>
      </c>
      <c r="C61" s="197"/>
      <c r="D61" s="210"/>
      <c r="E61" s="876">
        <v>0</v>
      </c>
      <c r="F61" s="876">
        <f t="shared" ref="F61:L61" si="45">F62+F86</f>
        <v>0</v>
      </c>
      <c r="G61" s="876">
        <f t="shared" si="45"/>
        <v>0</v>
      </c>
      <c r="H61" s="876">
        <f t="shared" si="45"/>
        <v>0</v>
      </c>
      <c r="I61" s="876">
        <f t="shared" si="45"/>
        <v>0</v>
      </c>
      <c r="J61" s="876">
        <f t="shared" si="45"/>
        <v>0</v>
      </c>
      <c r="K61" s="876">
        <f t="shared" si="45"/>
        <v>0</v>
      </c>
      <c r="L61" s="876">
        <f t="shared" si="45"/>
        <v>0</v>
      </c>
      <c r="M61" s="3455" t="s">
        <v>61</v>
      </c>
      <c r="N61" s="3159"/>
    </row>
    <row r="62" spans="1:14" ht="12" hidden="1">
      <c r="A62" s="3440"/>
      <c r="B62" s="895" t="s">
        <v>18</v>
      </c>
      <c r="C62" s="3109" t="s">
        <v>294</v>
      </c>
      <c r="D62" s="883"/>
      <c r="E62" s="883">
        <v>0</v>
      </c>
      <c r="F62" s="883">
        <f t="shared" ref="F62:L62" si="46">F63</f>
        <v>0</v>
      </c>
      <c r="G62" s="883">
        <f t="shared" si="46"/>
        <v>0</v>
      </c>
      <c r="H62" s="883">
        <f t="shared" si="46"/>
        <v>0</v>
      </c>
      <c r="I62" s="883">
        <f t="shared" si="46"/>
        <v>0</v>
      </c>
      <c r="J62" s="883">
        <f t="shared" si="46"/>
        <v>0</v>
      </c>
      <c r="K62" s="883">
        <f t="shared" si="46"/>
        <v>0</v>
      </c>
      <c r="L62" s="883">
        <f t="shared" si="46"/>
        <v>0</v>
      </c>
      <c r="M62" s="3456"/>
      <c r="N62" s="3159"/>
    </row>
    <row r="63" spans="1:14" ht="12.75" hidden="1" thickBot="1">
      <c r="A63" s="3136"/>
      <c r="B63" s="898" t="s">
        <v>20</v>
      </c>
      <c r="C63" s="3381"/>
      <c r="D63" s="1332"/>
      <c r="E63" s="1333">
        <v>0</v>
      </c>
      <c r="F63" s="821">
        <v>0</v>
      </c>
      <c r="G63" s="821">
        <v>0</v>
      </c>
      <c r="H63" s="821">
        <v>0</v>
      </c>
      <c r="I63" s="821">
        <v>0</v>
      </c>
      <c r="J63" s="821">
        <v>0</v>
      </c>
      <c r="K63" s="821">
        <v>0</v>
      </c>
      <c r="L63" s="821">
        <v>0</v>
      </c>
      <c r="M63" s="3457"/>
      <c r="N63" s="3160"/>
    </row>
    <row r="64" spans="1:14" ht="26.25" customHeight="1">
      <c r="A64" s="3439" t="s">
        <v>65</v>
      </c>
      <c r="B64" s="187" t="s">
        <v>452</v>
      </c>
      <c r="C64" s="188" t="s">
        <v>111</v>
      </c>
      <c r="D64" s="872"/>
      <c r="E64" s="873"/>
      <c r="F64" s="873"/>
      <c r="G64" s="873"/>
      <c r="H64" s="873"/>
      <c r="I64" s="873"/>
      <c r="J64" s="873"/>
      <c r="K64" s="873"/>
      <c r="L64" s="873"/>
      <c r="M64" s="874"/>
      <c r="N64" s="3175" t="s">
        <v>137</v>
      </c>
    </row>
    <row r="65" spans="1:108" ht="15" customHeight="1">
      <c r="A65" s="3440"/>
      <c r="B65" s="826" t="s">
        <v>10</v>
      </c>
      <c r="C65" s="893"/>
      <c r="D65" s="876">
        <f>+D66</f>
        <v>8400</v>
      </c>
      <c r="E65" s="876">
        <f t="shared" ref="E65:E66" si="47">+E66</f>
        <v>803</v>
      </c>
      <c r="F65" s="876">
        <f>+F66</f>
        <v>7597</v>
      </c>
      <c r="G65" s="876"/>
      <c r="H65" s="876"/>
      <c r="I65" s="876"/>
      <c r="J65" s="876"/>
      <c r="K65" s="876"/>
      <c r="L65" s="876"/>
      <c r="M65" s="877">
        <f>+M66</f>
        <v>7597</v>
      </c>
      <c r="N65" s="3159"/>
    </row>
    <row r="66" spans="1:108" ht="12">
      <c r="A66" s="3440"/>
      <c r="B66" s="895" t="s">
        <v>18</v>
      </c>
      <c r="C66" s="3109" t="s">
        <v>138</v>
      </c>
      <c r="D66" s="883">
        <f>+D67</f>
        <v>8400</v>
      </c>
      <c r="E66" s="883">
        <f t="shared" si="47"/>
        <v>803</v>
      </c>
      <c r="F66" s="883">
        <f>+F67</f>
        <v>7597</v>
      </c>
      <c r="G66" s="883"/>
      <c r="H66" s="883"/>
      <c r="I66" s="883"/>
      <c r="J66" s="883"/>
      <c r="K66" s="883"/>
      <c r="L66" s="883"/>
      <c r="M66" s="879">
        <f>+M67</f>
        <v>7597</v>
      </c>
      <c r="N66" s="3159"/>
    </row>
    <row r="67" spans="1:108" ht="12">
      <c r="A67" s="3440"/>
      <c r="B67" s="896" t="s">
        <v>20</v>
      </c>
      <c r="C67" s="3377"/>
      <c r="D67" s="280">
        <f>E67+F67+G67+H67+I67+J67+K67+L67</f>
        <v>8400</v>
      </c>
      <c r="E67" s="1333">
        <v>803</v>
      </c>
      <c r="F67" s="151">
        <f>4200+3397</f>
        <v>7597</v>
      </c>
      <c r="G67" s="151"/>
      <c r="H67" s="151"/>
      <c r="I67" s="151"/>
      <c r="J67" s="151"/>
      <c r="K67" s="151"/>
      <c r="L67" s="151"/>
      <c r="M67" s="881">
        <f>SUM(F67:L67)</f>
        <v>7597</v>
      </c>
      <c r="N67" s="3159"/>
    </row>
    <row r="68" spans="1:108" ht="15" customHeight="1">
      <c r="A68" s="3440"/>
      <c r="B68" s="897" t="s">
        <v>22</v>
      </c>
      <c r="C68" s="197"/>
      <c r="D68" s="210">
        <f>+D69</f>
        <v>8400</v>
      </c>
      <c r="E68" s="210">
        <f t="shared" ref="E68:E69" si="48">+E69</f>
        <v>803</v>
      </c>
      <c r="F68" s="876">
        <f>+F69</f>
        <v>7597</v>
      </c>
      <c r="G68" s="876"/>
      <c r="H68" s="876"/>
      <c r="I68" s="876"/>
      <c r="J68" s="876"/>
      <c r="K68" s="876"/>
      <c r="L68" s="876"/>
      <c r="M68" s="3468"/>
      <c r="N68" s="3159"/>
    </row>
    <row r="69" spans="1:108" ht="12">
      <c r="A69" s="3440"/>
      <c r="B69" s="895" t="s">
        <v>18</v>
      </c>
      <c r="C69" s="3109" t="s">
        <v>138</v>
      </c>
      <c r="D69" s="883">
        <f>+D70</f>
        <v>8400</v>
      </c>
      <c r="E69" s="883">
        <f t="shared" si="48"/>
        <v>803</v>
      </c>
      <c r="F69" s="883">
        <f>+F70</f>
        <v>7597</v>
      </c>
      <c r="G69" s="883"/>
      <c r="H69" s="883"/>
      <c r="I69" s="883"/>
      <c r="J69" s="883"/>
      <c r="K69" s="883"/>
      <c r="L69" s="883"/>
      <c r="M69" s="3456"/>
      <c r="N69" s="3159"/>
    </row>
    <row r="70" spans="1:108" ht="12.75" thickBot="1">
      <c r="A70" s="3136"/>
      <c r="B70" s="898" t="s">
        <v>20</v>
      </c>
      <c r="C70" s="3381"/>
      <c r="D70" s="280">
        <f>E70+F70+G70+H70+I70+J70+K70+L70</f>
        <v>8400</v>
      </c>
      <c r="E70" s="1333">
        <v>803</v>
      </c>
      <c r="F70" s="821">
        <f>4200+3397</f>
        <v>7597</v>
      </c>
      <c r="G70" s="821"/>
      <c r="H70" s="821"/>
      <c r="I70" s="821"/>
      <c r="J70" s="821"/>
      <c r="K70" s="821"/>
      <c r="L70" s="821"/>
      <c r="M70" s="3457"/>
      <c r="N70" s="3160"/>
    </row>
    <row r="71" spans="1:108" ht="9" customHeight="1">
      <c r="A71" s="2753"/>
      <c r="B71" s="900"/>
      <c r="C71" s="901"/>
      <c r="D71" s="199"/>
      <c r="E71" s="200"/>
      <c r="F71" s="200"/>
      <c r="G71" s="200"/>
      <c r="H71" s="200"/>
      <c r="I71" s="902"/>
      <c r="J71" s="902"/>
      <c r="K71" s="902"/>
      <c r="L71" s="902"/>
      <c r="M71" s="903"/>
      <c r="N71" s="901"/>
    </row>
    <row r="72" spans="1:108" s="906" customFormat="1" ht="26.25" hidden="1" customHeight="1" thickBot="1">
      <c r="A72" s="3454" t="s">
        <v>141</v>
      </c>
      <c r="B72" s="3454"/>
      <c r="C72" s="3454"/>
      <c r="D72" s="3454"/>
      <c r="E72" s="3454"/>
      <c r="F72" s="3454"/>
      <c r="G72" s="3454"/>
      <c r="H72" s="3454"/>
      <c r="I72" s="3454"/>
      <c r="J72" s="3454"/>
      <c r="K72" s="3454"/>
      <c r="L72" s="3454"/>
      <c r="M72" s="904"/>
      <c r="N72" s="905"/>
      <c r="O72" s="393"/>
      <c r="P72" s="393"/>
      <c r="Q72" s="393"/>
      <c r="R72" s="393"/>
      <c r="S72" s="393"/>
      <c r="T72" s="393"/>
      <c r="U72" s="393"/>
      <c r="V72" s="393"/>
      <c r="W72" s="393"/>
      <c r="X72" s="393"/>
      <c r="Y72" s="393"/>
      <c r="Z72" s="393"/>
      <c r="AA72" s="393"/>
      <c r="AB72" s="393"/>
      <c r="AC72" s="393"/>
      <c r="AD72" s="393"/>
      <c r="AE72" s="393"/>
      <c r="AF72" s="393"/>
      <c r="AG72" s="393"/>
      <c r="AH72" s="393"/>
      <c r="AI72" s="393"/>
      <c r="AJ72" s="393"/>
      <c r="AK72" s="393"/>
      <c r="AL72" s="393"/>
      <c r="AM72" s="393"/>
      <c r="AN72" s="393"/>
      <c r="AO72" s="393"/>
      <c r="AP72" s="393"/>
      <c r="AQ72" s="393"/>
      <c r="AR72" s="393"/>
      <c r="AS72" s="393"/>
      <c r="AT72" s="393"/>
      <c r="AU72" s="393"/>
      <c r="AV72" s="393"/>
      <c r="AW72" s="393"/>
      <c r="AX72" s="393"/>
      <c r="AY72" s="393"/>
      <c r="AZ72" s="393"/>
      <c r="BA72" s="393"/>
      <c r="BB72" s="393"/>
      <c r="BC72" s="393"/>
      <c r="BD72" s="393"/>
      <c r="BE72" s="393"/>
      <c r="BF72" s="393"/>
      <c r="BG72" s="393"/>
      <c r="BH72" s="393"/>
      <c r="BI72" s="393"/>
      <c r="BJ72" s="393"/>
      <c r="BK72" s="393"/>
      <c r="BL72" s="393"/>
      <c r="BM72" s="393"/>
      <c r="BN72" s="393"/>
      <c r="BO72" s="393"/>
      <c r="BP72" s="393"/>
      <c r="BQ72" s="393"/>
      <c r="BR72" s="393"/>
      <c r="BS72" s="393"/>
      <c r="BT72" s="393"/>
      <c r="BU72" s="393"/>
      <c r="BV72" s="393"/>
      <c r="BW72" s="393"/>
      <c r="BX72" s="393"/>
      <c r="BY72" s="393"/>
      <c r="BZ72" s="393"/>
      <c r="CA72" s="393"/>
      <c r="CB72" s="393"/>
      <c r="CC72" s="393"/>
      <c r="CD72" s="393"/>
      <c r="CE72" s="393"/>
      <c r="CF72" s="393"/>
      <c r="CG72" s="393"/>
      <c r="CH72" s="393"/>
      <c r="CI72" s="393"/>
      <c r="CJ72" s="393"/>
      <c r="CK72" s="393"/>
      <c r="CL72" s="393"/>
      <c r="CM72" s="393"/>
      <c r="CN72" s="393"/>
      <c r="CO72" s="393"/>
      <c r="CP72" s="393"/>
      <c r="CQ72" s="393"/>
      <c r="CR72" s="393"/>
      <c r="CS72" s="393"/>
      <c r="CT72" s="393"/>
      <c r="CU72" s="393"/>
      <c r="CV72" s="393"/>
      <c r="CW72" s="393"/>
      <c r="CX72" s="393"/>
      <c r="CY72" s="393"/>
      <c r="CZ72" s="393"/>
      <c r="DA72" s="393"/>
      <c r="DB72" s="393"/>
      <c r="DC72" s="393"/>
      <c r="DD72" s="393"/>
    </row>
    <row r="73" spans="1:108" s="2752" customFormat="1" ht="14.25" hidden="1" customHeight="1">
      <c r="A73" s="183"/>
      <c r="B73" s="907" t="s">
        <v>76</v>
      </c>
      <c r="C73" s="239"/>
      <c r="D73" s="908">
        <f>+D74+D75</f>
        <v>0</v>
      </c>
      <c r="E73" s="908">
        <f t="shared" ref="E73:L73" si="49">+E74+E75</f>
        <v>0</v>
      </c>
      <c r="F73" s="908">
        <f t="shared" si="49"/>
        <v>0</v>
      </c>
      <c r="G73" s="908">
        <f t="shared" si="49"/>
        <v>0</v>
      </c>
      <c r="H73" s="908">
        <f t="shared" si="49"/>
        <v>0</v>
      </c>
      <c r="I73" s="908">
        <f t="shared" si="49"/>
        <v>0</v>
      </c>
      <c r="J73" s="908">
        <f t="shared" si="49"/>
        <v>0</v>
      </c>
      <c r="K73" s="908">
        <f t="shared" si="49"/>
        <v>0</v>
      </c>
      <c r="L73" s="908">
        <f t="shared" si="49"/>
        <v>0</v>
      </c>
      <c r="M73" s="16">
        <f>+M74+M75</f>
        <v>0</v>
      </c>
      <c r="N73" s="3448"/>
    </row>
    <row r="74" spans="1:108" s="2752" customFormat="1" ht="13.5" hidden="1" customHeight="1">
      <c r="A74" s="183"/>
      <c r="B74" s="241" t="s">
        <v>77</v>
      </c>
      <c r="C74" s="242"/>
      <c r="D74" s="243">
        <v>0</v>
      </c>
      <c r="E74" s="243">
        <v>0</v>
      </c>
      <c r="F74" s="243">
        <v>0</v>
      </c>
      <c r="G74" s="243">
        <v>0</v>
      </c>
      <c r="H74" s="243">
        <v>0</v>
      </c>
      <c r="I74" s="243">
        <v>0</v>
      </c>
      <c r="J74" s="243">
        <v>0</v>
      </c>
      <c r="K74" s="243">
        <v>0</v>
      </c>
      <c r="L74" s="243">
        <v>0</v>
      </c>
      <c r="M74" s="18">
        <f>SUM(F74:H74)</f>
        <v>0</v>
      </c>
      <c r="N74" s="3449"/>
    </row>
    <row r="75" spans="1:108" s="2752" customFormat="1" ht="13.5" hidden="1" customHeight="1" thickBot="1">
      <c r="A75" s="183"/>
      <c r="B75" s="244" t="s">
        <v>9</v>
      </c>
      <c r="C75" s="822"/>
      <c r="D75" s="246">
        <f>+D92+D96+D101+D113</f>
        <v>0</v>
      </c>
      <c r="E75" s="246">
        <f t="shared" ref="E75:F75" si="50">+E92+E96+E101+E113</f>
        <v>0</v>
      </c>
      <c r="F75" s="246">
        <f t="shared" si="50"/>
        <v>0</v>
      </c>
      <c r="G75" s="246">
        <f t="shared" ref="G75:L75" si="51">+G92+G96+G101+G113</f>
        <v>0</v>
      </c>
      <c r="H75" s="246">
        <f t="shared" si="51"/>
        <v>0</v>
      </c>
      <c r="I75" s="246">
        <f t="shared" si="51"/>
        <v>0</v>
      </c>
      <c r="J75" s="246">
        <f t="shared" si="51"/>
        <v>0</v>
      </c>
      <c r="K75" s="246">
        <f t="shared" si="51"/>
        <v>0</v>
      </c>
      <c r="L75" s="246">
        <f t="shared" si="51"/>
        <v>0</v>
      </c>
      <c r="M75" s="18">
        <f>SUM(F75:H75)</f>
        <v>0</v>
      </c>
      <c r="N75" s="3449"/>
    </row>
    <row r="76" spans="1:108" s="906" customFormat="1" ht="13.5" hidden="1" customHeight="1">
      <c r="A76" s="183"/>
      <c r="B76" s="201" t="s">
        <v>10</v>
      </c>
      <c r="C76" s="202"/>
      <c r="D76" s="909">
        <f>D77+D81</f>
        <v>0</v>
      </c>
      <c r="E76" s="909">
        <f>+E77+E81</f>
        <v>0</v>
      </c>
      <c r="F76" s="909">
        <f t="shared" ref="F76:L76" si="52">+F77+F81</f>
        <v>0</v>
      </c>
      <c r="G76" s="909">
        <f t="shared" si="52"/>
        <v>0</v>
      </c>
      <c r="H76" s="909">
        <f t="shared" si="52"/>
        <v>0</v>
      </c>
      <c r="I76" s="909">
        <f t="shared" si="52"/>
        <v>0</v>
      </c>
      <c r="J76" s="909">
        <f t="shared" si="52"/>
        <v>0</v>
      </c>
      <c r="K76" s="909">
        <f t="shared" si="52"/>
        <v>0</v>
      </c>
      <c r="L76" s="909">
        <f t="shared" si="52"/>
        <v>0</v>
      </c>
      <c r="M76" s="910" t="e">
        <f>+M77</f>
        <v>#REF!</v>
      </c>
      <c r="N76" s="3448"/>
      <c r="O76" s="393"/>
      <c r="P76" s="393"/>
      <c r="Q76" s="393"/>
      <c r="R76" s="393"/>
      <c r="S76" s="393"/>
      <c r="T76" s="393"/>
      <c r="U76" s="393"/>
      <c r="V76" s="393"/>
      <c r="W76" s="393"/>
      <c r="X76" s="393"/>
      <c r="Y76" s="393"/>
      <c r="Z76" s="393"/>
      <c r="AA76" s="393"/>
      <c r="AB76" s="393"/>
      <c r="AC76" s="393"/>
      <c r="AD76" s="393"/>
      <c r="AE76" s="393"/>
      <c r="AF76" s="393"/>
      <c r="AG76" s="393"/>
      <c r="AH76" s="393"/>
      <c r="AI76" s="393"/>
      <c r="AJ76" s="393"/>
      <c r="AK76" s="393"/>
      <c r="AL76" s="393"/>
      <c r="AM76" s="393"/>
      <c r="AN76" s="393"/>
      <c r="AO76" s="393"/>
      <c r="AP76" s="393"/>
      <c r="AQ76" s="393"/>
      <c r="AR76" s="393"/>
      <c r="AS76" s="393"/>
      <c r="AT76" s="393"/>
      <c r="AU76" s="393"/>
      <c r="AV76" s="393"/>
      <c r="AW76" s="393"/>
      <c r="AX76" s="393"/>
      <c r="AY76" s="393"/>
      <c r="AZ76" s="393"/>
      <c r="BA76" s="393"/>
      <c r="BB76" s="393"/>
      <c r="BC76" s="393"/>
      <c r="BD76" s="393"/>
      <c r="BE76" s="393"/>
      <c r="BF76" s="393"/>
      <c r="BG76" s="393"/>
      <c r="BH76" s="393"/>
      <c r="BI76" s="393"/>
      <c r="BJ76" s="393"/>
      <c r="BK76" s="393"/>
      <c r="BL76" s="393"/>
      <c r="BM76" s="393"/>
      <c r="BN76" s="393"/>
      <c r="BO76" s="393"/>
      <c r="BP76" s="393"/>
      <c r="BQ76" s="393"/>
      <c r="BR76" s="393"/>
      <c r="BS76" s="393"/>
      <c r="BT76" s="393"/>
      <c r="BU76" s="393"/>
      <c r="BV76" s="393"/>
      <c r="BW76" s="393"/>
      <c r="BX76" s="393"/>
      <c r="BY76" s="393"/>
      <c r="BZ76" s="393"/>
      <c r="CA76" s="393"/>
      <c r="CB76" s="393"/>
      <c r="CC76" s="393"/>
      <c r="CD76" s="393"/>
      <c r="CE76" s="393"/>
      <c r="CF76" s="393"/>
      <c r="CG76" s="393"/>
      <c r="CH76" s="393"/>
      <c r="CI76" s="393"/>
      <c r="CJ76" s="393"/>
      <c r="CK76" s="393"/>
      <c r="CL76" s="393"/>
      <c r="CM76" s="393"/>
      <c r="CN76" s="393"/>
      <c r="CO76" s="393"/>
      <c r="CP76" s="393"/>
      <c r="CQ76" s="393"/>
      <c r="CR76" s="393"/>
      <c r="CS76" s="393"/>
      <c r="CT76" s="393"/>
      <c r="CU76" s="393"/>
      <c r="CV76" s="393"/>
      <c r="CW76" s="393"/>
      <c r="CX76" s="393"/>
      <c r="CY76" s="393"/>
      <c r="CZ76" s="393"/>
      <c r="DA76" s="393"/>
      <c r="DB76" s="393"/>
      <c r="DC76" s="393"/>
      <c r="DD76" s="393"/>
    </row>
    <row r="77" spans="1:108" s="906" customFormat="1" ht="13.5" hidden="1" customHeight="1">
      <c r="A77" s="183"/>
      <c r="B77" s="911" t="s">
        <v>11</v>
      </c>
      <c r="C77" s="912"/>
      <c r="D77" s="912">
        <f>+D78+D79+D80</f>
        <v>0</v>
      </c>
      <c r="E77" s="912">
        <f t="shared" ref="E77:L77" si="53">+E78+E79+E80</f>
        <v>0</v>
      </c>
      <c r="F77" s="912">
        <f t="shared" si="53"/>
        <v>0</v>
      </c>
      <c r="G77" s="912">
        <f t="shared" si="53"/>
        <v>0</v>
      </c>
      <c r="H77" s="912">
        <f t="shared" si="53"/>
        <v>0</v>
      </c>
      <c r="I77" s="912">
        <f t="shared" si="53"/>
        <v>0</v>
      </c>
      <c r="J77" s="912">
        <f t="shared" si="53"/>
        <v>0</v>
      </c>
      <c r="K77" s="912">
        <f t="shared" si="53"/>
        <v>0</v>
      </c>
      <c r="L77" s="912">
        <f t="shared" si="53"/>
        <v>0</v>
      </c>
      <c r="M77" s="913" t="e">
        <f>+M80+M79</f>
        <v>#REF!</v>
      </c>
      <c r="N77" s="3449"/>
      <c r="O77" s="398"/>
      <c r="P77" s="393"/>
      <c r="Q77" s="393"/>
      <c r="R77" s="393"/>
      <c r="S77" s="393"/>
      <c r="T77" s="393"/>
      <c r="U77" s="393"/>
      <c r="V77" s="393"/>
      <c r="W77" s="393"/>
      <c r="X77" s="393"/>
      <c r="Y77" s="393"/>
      <c r="Z77" s="393"/>
      <c r="AA77" s="393"/>
      <c r="AB77" s="393"/>
      <c r="AC77" s="393"/>
      <c r="AD77" s="393"/>
      <c r="AE77" s="393"/>
      <c r="AF77" s="393"/>
      <c r="AG77" s="393"/>
      <c r="AH77" s="393"/>
      <c r="AI77" s="393"/>
      <c r="AJ77" s="393"/>
      <c r="AK77" s="393"/>
      <c r="AL77" s="393"/>
      <c r="AM77" s="393"/>
      <c r="AN77" s="393"/>
      <c r="AO77" s="393"/>
      <c r="AP77" s="393"/>
      <c r="AQ77" s="393"/>
      <c r="AR77" s="393"/>
      <c r="AS77" s="393"/>
      <c r="AT77" s="393"/>
      <c r="AU77" s="393"/>
      <c r="AV77" s="393"/>
      <c r="AW77" s="393"/>
      <c r="AX77" s="393"/>
      <c r="AY77" s="393"/>
      <c r="AZ77" s="393"/>
      <c r="BA77" s="393"/>
      <c r="BB77" s="393"/>
      <c r="BC77" s="393"/>
      <c r="BD77" s="393"/>
      <c r="BE77" s="393"/>
      <c r="BF77" s="393"/>
      <c r="BG77" s="393"/>
      <c r="BH77" s="393"/>
      <c r="BI77" s="393"/>
      <c r="BJ77" s="393"/>
      <c r="BK77" s="393"/>
      <c r="BL77" s="393"/>
      <c r="BM77" s="393"/>
      <c r="BN77" s="393"/>
      <c r="BO77" s="393"/>
      <c r="BP77" s="393"/>
      <c r="BQ77" s="393"/>
      <c r="BR77" s="393"/>
      <c r="BS77" s="393"/>
      <c r="BT77" s="393"/>
      <c r="BU77" s="393"/>
      <c r="BV77" s="393"/>
      <c r="BW77" s="393"/>
      <c r="BX77" s="393"/>
      <c r="BY77" s="393"/>
      <c r="BZ77" s="393"/>
      <c r="CA77" s="393"/>
      <c r="CB77" s="393"/>
      <c r="CC77" s="393"/>
      <c r="CD77" s="393"/>
      <c r="CE77" s="393"/>
      <c r="CF77" s="393"/>
      <c r="CG77" s="393"/>
      <c r="CH77" s="393"/>
      <c r="CI77" s="393"/>
      <c r="CJ77" s="393"/>
      <c r="CK77" s="393"/>
      <c r="CL77" s="393"/>
      <c r="CM77" s="393"/>
      <c r="CN77" s="393"/>
      <c r="CO77" s="393"/>
      <c r="CP77" s="393"/>
      <c r="CQ77" s="393"/>
      <c r="CR77" s="393"/>
      <c r="CS77" s="393"/>
      <c r="CT77" s="393"/>
      <c r="CU77" s="393"/>
      <c r="CV77" s="393"/>
      <c r="CW77" s="393"/>
      <c r="CX77" s="393"/>
      <c r="CY77" s="393"/>
      <c r="CZ77" s="393"/>
      <c r="DA77" s="393"/>
      <c r="DB77" s="393"/>
      <c r="DC77" s="393"/>
      <c r="DD77" s="393"/>
    </row>
    <row r="78" spans="1:108" s="906" customFormat="1" ht="13.5" hidden="1" customHeight="1">
      <c r="A78" s="183"/>
      <c r="B78" s="914" t="s">
        <v>142</v>
      </c>
      <c r="C78" s="915"/>
      <c r="D78" s="915">
        <f>+D100</f>
        <v>0</v>
      </c>
      <c r="E78" s="915">
        <f t="shared" ref="E78:F78" si="54">+E100</f>
        <v>0</v>
      </c>
      <c r="F78" s="915">
        <f t="shared" si="54"/>
        <v>0</v>
      </c>
      <c r="G78" s="915">
        <v>0</v>
      </c>
      <c r="H78" s="915">
        <v>0</v>
      </c>
      <c r="I78" s="915">
        <v>0</v>
      </c>
      <c r="J78" s="915">
        <v>0</v>
      </c>
      <c r="K78" s="915">
        <v>0</v>
      </c>
      <c r="L78" s="915">
        <v>0</v>
      </c>
      <c r="M78" s="916" t="s">
        <v>61</v>
      </c>
      <c r="N78" s="3449"/>
      <c r="O78" s="398"/>
      <c r="P78" s="393"/>
      <c r="Q78" s="393"/>
      <c r="R78" s="393"/>
      <c r="S78" s="393"/>
      <c r="T78" s="393"/>
      <c r="U78" s="393"/>
      <c r="V78" s="393"/>
      <c r="W78" s="393"/>
      <c r="X78" s="393"/>
      <c r="Y78" s="393"/>
      <c r="Z78" s="393"/>
      <c r="AA78" s="393"/>
      <c r="AB78" s="393"/>
      <c r="AC78" s="393"/>
      <c r="AD78" s="393"/>
      <c r="AE78" s="393"/>
      <c r="AF78" s="393"/>
      <c r="AG78" s="393"/>
      <c r="AH78" s="393"/>
      <c r="AI78" s="393"/>
      <c r="AJ78" s="393"/>
      <c r="AK78" s="393"/>
      <c r="AL78" s="393"/>
      <c r="AM78" s="393"/>
      <c r="AN78" s="393"/>
      <c r="AO78" s="393"/>
      <c r="AP78" s="393"/>
      <c r="AQ78" s="393"/>
      <c r="AR78" s="393"/>
      <c r="AS78" s="393"/>
      <c r="AT78" s="393"/>
      <c r="AU78" s="393"/>
      <c r="AV78" s="393"/>
      <c r="AW78" s="393"/>
      <c r="AX78" s="393"/>
      <c r="AY78" s="393"/>
      <c r="AZ78" s="393"/>
      <c r="BA78" s="393"/>
      <c r="BB78" s="393"/>
      <c r="BC78" s="393"/>
      <c r="BD78" s="393"/>
      <c r="BE78" s="393"/>
      <c r="BF78" s="393"/>
      <c r="BG78" s="393"/>
      <c r="BH78" s="393"/>
      <c r="BI78" s="393"/>
      <c r="BJ78" s="393"/>
      <c r="BK78" s="393"/>
      <c r="BL78" s="393"/>
      <c r="BM78" s="393"/>
      <c r="BN78" s="393"/>
      <c r="BO78" s="393"/>
      <c r="BP78" s="393"/>
      <c r="BQ78" s="393"/>
      <c r="BR78" s="393"/>
      <c r="BS78" s="393"/>
      <c r="BT78" s="393"/>
      <c r="BU78" s="393"/>
      <c r="BV78" s="393"/>
      <c r="BW78" s="393"/>
      <c r="BX78" s="393"/>
      <c r="BY78" s="393"/>
      <c r="BZ78" s="393"/>
      <c r="CA78" s="393"/>
      <c r="CB78" s="393"/>
      <c r="CC78" s="393"/>
      <c r="CD78" s="393"/>
      <c r="CE78" s="393"/>
      <c r="CF78" s="393"/>
      <c r="CG78" s="393"/>
      <c r="CH78" s="393"/>
      <c r="CI78" s="393"/>
      <c r="CJ78" s="393"/>
      <c r="CK78" s="393"/>
      <c r="CL78" s="393"/>
      <c r="CM78" s="393"/>
      <c r="CN78" s="393"/>
      <c r="CO78" s="393"/>
      <c r="CP78" s="393"/>
      <c r="CQ78" s="393"/>
      <c r="CR78" s="393"/>
      <c r="CS78" s="393"/>
      <c r="CT78" s="393"/>
      <c r="CU78" s="393"/>
      <c r="CV78" s="393"/>
      <c r="CW78" s="393"/>
      <c r="CX78" s="393"/>
      <c r="CY78" s="393"/>
      <c r="CZ78" s="393"/>
      <c r="DA78" s="393"/>
      <c r="DB78" s="393"/>
      <c r="DC78" s="393"/>
      <c r="DD78" s="393"/>
    </row>
    <row r="79" spans="1:108" s="906" customFormat="1" ht="13.5" hidden="1" customHeight="1">
      <c r="A79" s="183"/>
      <c r="B79" s="914" t="s">
        <v>143</v>
      </c>
      <c r="C79" s="915"/>
      <c r="D79" s="915">
        <f>+D101+D113</f>
        <v>0</v>
      </c>
      <c r="E79" s="915">
        <f t="shared" ref="E79:I79" si="55">+E101+E113</f>
        <v>0</v>
      </c>
      <c r="F79" s="915">
        <f t="shared" si="55"/>
        <v>0</v>
      </c>
      <c r="G79" s="915">
        <f t="shared" si="55"/>
        <v>0</v>
      </c>
      <c r="H79" s="915">
        <f t="shared" si="55"/>
        <v>0</v>
      </c>
      <c r="I79" s="915">
        <f t="shared" si="55"/>
        <v>0</v>
      </c>
      <c r="J79" s="915">
        <v>0</v>
      </c>
      <c r="K79" s="915">
        <v>0</v>
      </c>
      <c r="L79" s="915">
        <v>0</v>
      </c>
      <c r="M79" s="861" t="e">
        <f>+I79+H79+G79+F79+#REF!</f>
        <v>#REF!</v>
      </c>
      <c r="N79" s="3449"/>
      <c r="O79" s="398"/>
      <c r="P79" s="393"/>
      <c r="Q79" s="393"/>
      <c r="R79" s="393"/>
      <c r="S79" s="393"/>
      <c r="T79" s="393"/>
      <c r="U79" s="393"/>
      <c r="V79" s="393"/>
      <c r="W79" s="393"/>
      <c r="X79" s="393"/>
      <c r="Y79" s="393"/>
      <c r="Z79" s="393"/>
      <c r="AA79" s="393"/>
      <c r="AB79" s="393"/>
      <c r="AC79" s="393"/>
      <c r="AD79" s="393"/>
      <c r="AE79" s="393"/>
      <c r="AF79" s="393"/>
      <c r="AG79" s="393"/>
      <c r="AH79" s="393"/>
      <c r="AI79" s="393"/>
      <c r="AJ79" s="393"/>
      <c r="AK79" s="393"/>
      <c r="AL79" s="393"/>
      <c r="AM79" s="393"/>
      <c r="AN79" s="393"/>
      <c r="AO79" s="393"/>
      <c r="AP79" s="393"/>
      <c r="AQ79" s="393"/>
      <c r="AR79" s="393"/>
      <c r="AS79" s="393"/>
      <c r="AT79" s="393"/>
      <c r="AU79" s="393"/>
      <c r="AV79" s="393"/>
      <c r="AW79" s="393"/>
      <c r="AX79" s="393"/>
      <c r="AY79" s="393"/>
      <c r="AZ79" s="393"/>
      <c r="BA79" s="393"/>
      <c r="BB79" s="393"/>
      <c r="BC79" s="393"/>
      <c r="BD79" s="393"/>
      <c r="BE79" s="393"/>
      <c r="BF79" s="393"/>
      <c r="BG79" s="393"/>
      <c r="BH79" s="393"/>
      <c r="BI79" s="393"/>
      <c r="BJ79" s="393"/>
      <c r="BK79" s="393"/>
      <c r="BL79" s="393"/>
      <c r="BM79" s="393"/>
      <c r="BN79" s="393"/>
      <c r="BO79" s="393"/>
      <c r="BP79" s="393"/>
      <c r="BQ79" s="393"/>
      <c r="BR79" s="393"/>
      <c r="BS79" s="393"/>
      <c r="BT79" s="393"/>
      <c r="BU79" s="393"/>
      <c r="BV79" s="393"/>
      <c r="BW79" s="393"/>
      <c r="BX79" s="393"/>
      <c r="BY79" s="393"/>
      <c r="BZ79" s="393"/>
      <c r="CA79" s="393"/>
      <c r="CB79" s="393"/>
      <c r="CC79" s="393"/>
      <c r="CD79" s="393"/>
      <c r="CE79" s="393"/>
      <c r="CF79" s="393"/>
      <c r="CG79" s="393"/>
      <c r="CH79" s="393"/>
      <c r="CI79" s="393"/>
      <c r="CJ79" s="393"/>
      <c r="CK79" s="393"/>
      <c r="CL79" s="393"/>
      <c r="CM79" s="393"/>
      <c r="CN79" s="393"/>
      <c r="CO79" s="393"/>
      <c r="CP79" s="393"/>
      <c r="CQ79" s="393"/>
      <c r="CR79" s="393"/>
      <c r="CS79" s="393"/>
      <c r="CT79" s="393"/>
      <c r="CU79" s="393"/>
      <c r="CV79" s="393"/>
      <c r="CW79" s="393"/>
      <c r="CX79" s="393"/>
      <c r="CY79" s="393"/>
      <c r="CZ79" s="393"/>
      <c r="DA79" s="393"/>
      <c r="DB79" s="393"/>
      <c r="DC79" s="393"/>
      <c r="DD79" s="393"/>
    </row>
    <row r="80" spans="1:108" s="920" customFormat="1" ht="13.5" hidden="1" customHeight="1">
      <c r="A80" s="167"/>
      <c r="B80" s="917" t="s">
        <v>12</v>
      </c>
      <c r="C80" s="918"/>
      <c r="D80" s="918">
        <f>+D92+D96</f>
        <v>0</v>
      </c>
      <c r="E80" s="918">
        <f t="shared" ref="E80:F80" si="56">+E92+E96</f>
        <v>0</v>
      </c>
      <c r="F80" s="918">
        <f t="shared" si="56"/>
        <v>0</v>
      </c>
      <c r="G80" s="918">
        <v>0</v>
      </c>
      <c r="H80" s="918">
        <v>0</v>
      </c>
      <c r="I80" s="918">
        <v>0</v>
      </c>
      <c r="J80" s="918"/>
      <c r="K80" s="918"/>
      <c r="L80" s="918"/>
      <c r="M80" s="919">
        <f>SUM(F80:G80)</f>
        <v>0</v>
      </c>
      <c r="N80" s="3449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  <c r="AA80" s="381"/>
      <c r="AB80" s="381"/>
      <c r="AC80" s="381"/>
      <c r="AD80" s="381"/>
      <c r="AE80" s="381"/>
      <c r="AF80" s="381"/>
      <c r="AG80" s="381"/>
      <c r="AH80" s="381"/>
      <c r="AI80" s="381"/>
      <c r="AJ80" s="381"/>
      <c r="AK80" s="381"/>
      <c r="AL80" s="381"/>
      <c r="AM80" s="381"/>
      <c r="AN80" s="381"/>
      <c r="AO80" s="381"/>
      <c r="AP80" s="381"/>
      <c r="AQ80" s="381"/>
      <c r="AR80" s="381"/>
      <c r="AS80" s="381"/>
      <c r="AT80" s="381"/>
      <c r="AU80" s="381"/>
      <c r="AV80" s="381"/>
      <c r="AW80" s="381"/>
      <c r="AX80" s="381"/>
      <c r="AY80" s="381"/>
      <c r="AZ80" s="381"/>
      <c r="BA80" s="381"/>
      <c r="BB80" s="381"/>
      <c r="BC80" s="381"/>
      <c r="BD80" s="381"/>
      <c r="BE80" s="381"/>
      <c r="BF80" s="381"/>
      <c r="BG80" s="381"/>
      <c r="BH80" s="381"/>
      <c r="BI80" s="381"/>
      <c r="BJ80" s="381"/>
      <c r="BK80" s="381"/>
      <c r="BL80" s="381"/>
      <c r="BM80" s="381"/>
      <c r="BN80" s="381"/>
      <c r="BO80" s="381"/>
      <c r="BP80" s="381"/>
      <c r="BQ80" s="381"/>
      <c r="BR80" s="381"/>
      <c r="BS80" s="381"/>
      <c r="BT80" s="381"/>
      <c r="BU80" s="381"/>
      <c r="BV80" s="381"/>
      <c r="BW80" s="381"/>
      <c r="BX80" s="381"/>
      <c r="BY80" s="381"/>
      <c r="BZ80" s="381"/>
      <c r="CA80" s="381"/>
      <c r="CB80" s="381"/>
      <c r="CC80" s="381"/>
      <c r="CD80" s="381"/>
      <c r="CE80" s="381"/>
      <c r="CF80" s="381"/>
      <c r="CG80" s="381"/>
      <c r="CH80" s="381"/>
      <c r="CI80" s="381"/>
      <c r="CJ80" s="381"/>
      <c r="CK80" s="381"/>
      <c r="CL80" s="381"/>
      <c r="CM80" s="381"/>
      <c r="CN80" s="381"/>
      <c r="CO80" s="381"/>
      <c r="CP80" s="381"/>
      <c r="CQ80" s="381"/>
      <c r="CR80" s="381"/>
      <c r="CS80" s="381"/>
      <c r="CT80" s="381"/>
      <c r="CU80" s="381"/>
      <c r="CV80" s="381"/>
      <c r="CW80" s="381"/>
      <c r="CX80" s="381"/>
      <c r="CY80" s="381"/>
      <c r="CZ80" s="381"/>
      <c r="DA80" s="381"/>
      <c r="DB80" s="381"/>
      <c r="DC80" s="381"/>
      <c r="DD80" s="381"/>
    </row>
    <row r="81" spans="1:108" s="906" customFormat="1" ht="13.5" hidden="1" customHeight="1">
      <c r="A81" s="183"/>
      <c r="B81" s="911" t="s">
        <v>18</v>
      </c>
      <c r="C81" s="921"/>
      <c r="D81" s="922">
        <f>D82</f>
        <v>0</v>
      </c>
      <c r="E81" s="922">
        <f t="shared" ref="E81:L81" si="57">E82</f>
        <v>0</v>
      </c>
      <c r="F81" s="922">
        <f t="shared" si="57"/>
        <v>0</v>
      </c>
      <c r="G81" s="921">
        <f t="shared" si="57"/>
        <v>0</v>
      </c>
      <c r="H81" s="921">
        <f t="shared" si="57"/>
        <v>0</v>
      </c>
      <c r="I81" s="921">
        <f t="shared" si="57"/>
        <v>0</v>
      </c>
      <c r="J81" s="921">
        <f t="shared" si="57"/>
        <v>0</v>
      </c>
      <c r="K81" s="921">
        <f t="shared" si="57"/>
        <v>0</v>
      </c>
      <c r="L81" s="921">
        <f t="shared" si="57"/>
        <v>0</v>
      </c>
      <c r="M81" s="923" t="s">
        <v>61</v>
      </c>
      <c r="N81" s="924"/>
      <c r="O81" s="393"/>
      <c r="P81" s="393"/>
      <c r="Q81" s="393"/>
      <c r="R81" s="393"/>
      <c r="S81" s="393"/>
      <c r="T81" s="393"/>
      <c r="U81" s="393"/>
      <c r="V81" s="393"/>
      <c r="W81" s="393"/>
      <c r="X81" s="393"/>
      <c r="Y81" s="393"/>
      <c r="Z81" s="393"/>
      <c r="AA81" s="393"/>
      <c r="AB81" s="393"/>
      <c r="AC81" s="393"/>
      <c r="AD81" s="393"/>
      <c r="AE81" s="393"/>
      <c r="AF81" s="393"/>
      <c r="AG81" s="393"/>
      <c r="AH81" s="393"/>
      <c r="AI81" s="393"/>
      <c r="AJ81" s="393"/>
      <c r="AK81" s="393"/>
      <c r="AL81" s="393"/>
      <c r="AM81" s="393"/>
      <c r="AN81" s="393"/>
      <c r="AO81" s="393"/>
      <c r="AP81" s="393"/>
      <c r="AQ81" s="393"/>
      <c r="AR81" s="393"/>
      <c r="AS81" s="393"/>
      <c r="AT81" s="393"/>
      <c r="AU81" s="393"/>
      <c r="AV81" s="393"/>
      <c r="AW81" s="393"/>
      <c r="AX81" s="393"/>
      <c r="AY81" s="393"/>
      <c r="AZ81" s="393"/>
      <c r="BA81" s="393"/>
      <c r="BB81" s="393"/>
      <c r="BC81" s="393"/>
      <c r="BD81" s="393"/>
      <c r="BE81" s="393"/>
      <c r="BF81" s="393"/>
      <c r="BG81" s="393"/>
      <c r="BH81" s="393"/>
      <c r="BI81" s="393"/>
      <c r="BJ81" s="393"/>
      <c r="BK81" s="393"/>
      <c r="BL81" s="393"/>
      <c r="BM81" s="393"/>
      <c r="BN81" s="393"/>
      <c r="BO81" s="393"/>
      <c r="BP81" s="393"/>
      <c r="BQ81" s="393"/>
      <c r="BR81" s="393"/>
      <c r="BS81" s="393"/>
      <c r="BT81" s="393"/>
      <c r="BU81" s="393"/>
      <c r="BV81" s="393"/>
      <c r="BW81" s="393"/>
      <c r="BX81" s="393"/>
      <c r="BY81" s="393"/>
      <c r="BZ81" s="393"/>
      <c r="CA81" s="393"/>
      <c r="CB81" s="393"/>
      <c r="CC81" s="393"/>
      <c r="CD81" s="393"/>
      <c r="CE81" s="393"/>
      <c r="CF81" s="393"/>
      <c r="CG81" s="393"/>
      <c r="CH81" s="393"/>
      <c r="CI81" s="393"/>
      <c r="CJ81" s="393"/>
      <c r="CK81" s="393"/>
      <c r="CL81" s="393"/>
      <c r="CM81" s="393"/>
      <c r="CN81" s="393"/>
      <c r="CO81" s="393"/>
      <c r="CP81" s="393"/>
      <c r="CQ81" s="393"/>
      <c r="CR81" s="393"/>
      <c r="CS81" s="393"/>
      <c r="CT81" s="393"/>
      <c r="CU81" s="393"/>
      <c r="CV81" s="393"/>
      <c r="CW81" s="393"/>
      <c r="CX81" s="393"/>
      <c r="CY81" s="393"/>
      <c r="CZ81" s="393"/>
      <c r="DA81" s="393"/>
      <c r="DB81" s="393"/>
      <c r="DC81" s="393"/>
      <c r="DD81" s="393"/>
    </row>
    <row r="82" spans="1:108" s="906" customFormat="1" ht="13.5" hidden="1" customHeight="1">
      <c r="A82" s="183"/>
      <c r="B82" s="914" t="s">
        <v>35</v>
      </c>
      <c r="C82" s="915"/>
      <c r="D82" s="925">
        <f>D103</f>
        <v>0</v>
      </c>
      <c r="E82" s="925">
        <f>E103</f>
        <v>0</v>
      </c>
      <c r="F82" s="925">
        <v>0</v>
      </c>
      <c r="G82" s="915">
        <v>0</v>
      </c>
      <c r="H82" s="915">
        <v>0</v>
      </c>
      <c r="I82" s="915">
        <v>0</v>
      </c>
      <c r="J82" s="915">
        <v>0</v>
      </c>
      <c r="K82" s="915">
        <v>0</v>
      </c>
      <c r="L82" s="915">
        <v>0</v>
      </c>
      <c r="M82" s="926" t="s">
        <v>61</v>
      </c>
      <c r="N82" s="924"/>
      <c r="O82" s="393"/>
      <c r="P82" s="393"/>
      <c r="Q82" s="393"/>
      <c r="R82" s="393"/>
      <c r="S82" s="393"/>
      <c r="T82" s="393"/>
      <c r="U82" s="393"/>
      <c r="V82" s="393"/>
      <c r="W82" s="393"/>
      <c r="X82" s="393"/>
      <c r="Y82" s="393"/>
      <c r="Z82" s="393"/>
      <c r="AA82" s="393"/>
      <c r="AB82" s="393"/>
      <c r="AC82" s="393"/>
      <c r="AD82" s="393"/>
      <c r="AE82" s="393"/>
      <c r="AF82" s="393"/>
      <c r="AG82" s="393"/>
      <c r="AH82" s="393"/>
      <c r="AI82" s="393"/>
      <c r="AJ82" s="393"/>
      <c r="AK82" s="393"/>
      <c r="AL82" s="393"/>
      <c r="AM82" s="393"/>
      <c r="AN82" s="393"/>
      <c r="AO82" s="393"/>
      <c r="AP82" s="393"/>
      <c r="AQ82" s="393"/>
      <c r="AR82" s="393"/>
      <c r="AS82" s="393"/>
      <c r="AT82" s="393"/>
      <c r="AU82" s="393"/>
      <c r="AV82" s="393"/>
      <c r="AW82" s="393"/>
      <c r="AX82" s="393"/>
      <c r="AY82" s="393"/>
      <c r="AZ82" s="393"/>
      <c r="BA82" s="393"/>
      <c r="BB82" s="393"/>
      <c r="BC82" s="393"/>
      <c r="BD82" s="393"/>
      <c r="BE82" s="393"/>
      <c r="BF82" s="393"/>
      <c r="BG82" s="393"/>
      <c r="BH82" s="393"/>
      <c r="BI82" s="393"/>
      <c r="BJ82" s="393"/>
      <c r="BK82" s="393"/>
      <c r="BL82" s="393"/>
      <c r="BM82" s="393"/>
      <c r="BN82" s="393"/>
      <c r="BO82" s="393"/>
      <c r="BP82" s="393"/>
      <c r="BQ82" s="393"/>
      <c r="BR82" s="393"/>
      <c r="BS82" s="393"/>
      <c r="BT82" s="393"/>
      <c r="BU82" s="393"/>
      <c r="BV82" s="393"/>
      <c r="BW82" s="393"/>
      <c r="BX82" s="393"/>
      <c r="BY82" s="393"/>
      <c r="BZ82" s="393"/>
      <c r="CA82" s="393"/>
      <c r="CB82" s="393"/>
      <c r="CC82" s="393"/>
      <c r="CD82" s="393"/>
      <c r="CE82" s="393"/>
      <c r="CF82" s="393"/>
      <c r="CG82" s="393"/>
      <c r="CH82" s="393"/>
      <c r="CI82" s="393"/>
      <c r="CJ82" s="393"/>
      <c r="CK82" s="393"/>
      <c r="CL82" s="393"/>
      <c r="CM82" s="393"/>
      <c r="CN82" s="393"/>
      <c r="CO82" s="393"/>
      <c r="CP82" s="393"/>
      <c r="CQ82" s="393"/>
      <c r="CR82" s="393"/>
      <c r="CS82" s="393"/>
      <c r="CT82" s="393"/>
      <c r="CU82" s="393"/>
      <c r="CV82" s="393"/>
      <c r="CW82" s="393"/>
      <c r="CX82" s="393"/>
      <c r="CY82" s="393"/>
      <c r="CZ82" s="393"/>
      <c r="DA82" s="393"/>
      <c r="DB82" s="393"/>
      <c r="DC82" s="393"/>
      <c r="DD82" s="393"/>
    </row>
    <row r="83" spans="1:108" s="906" customFormat="1" ht="13.5" hidden="1" customHeight="1">
      <c r="A83" s="183"/>
      <c r="B83" s="91" t="s">
        <v>22</v>
      </c>
      <c r="C83" s="101"/>
      <c r="D83" s="927">
        <f>D84+D87</f>
        <v>0</v>
      </c>
      <c r="E83" s="927">
        <f t="shared" ref="E83:L83" si="58">E84+E87</f>
        <v>0</v>
      </c>
      <c r="F83" s="927">
        <f t="shared" si="58"/>
        <v>0</v>
      </c>
      <c r="G83" s="927">
        <f t="shared" si="58"/>
        <v>0</v>
      </c>
      <c r="H83" s="927">
        <f t="shared" si="58"/>
        <v>0</v>
      </c>
      <c r="I83" s="927">
        <f t="shared" si="58"/>
        <v>0</v>
      </c>
      <c r="J83" s="927">
        <f t="shared" si="58"/>
        <v>0</v>
      </c>
      <c r="K83" s="927">
        <f t="shared" si="58"/>
        <v>0</v>
      </c>
      <c r="L83" s="927">
        <f t="shared" si="58"/>
        <v>0</v>
      </c>
      <c r="M83" s="211"/>
      <c r="N83" s="924"/>
      <c r="O83" s="393"/>
      <c r="P83" s="393"/>
      <c r="Q83" s="393"/>
      <c r="R83" s="393"/>
      <c r="S83" s="393"/>
      <c r="T83" s="393"/>
      <c r="U83" s="393"/>
      <c r="V83" s="393"/>
      <c r="W83" s="393"/>
      <c r="X83" s="393"/>
      <c r="Y83" s="393"/>
      <c r="Z83" s="393"/>
      <c r="AA83" s="393"/>
      <c r="AB83" s="393"/>
      <c r="AC83" s="393"/>
      <c r="AD83" s="393"/>
      <c r="AE83" s="393"/>
      <c r="AF83" s="393"/>
      <c r="AG83" s="393"/>
      <c r="AH83" s="393"/>
      <c r="AI83" s="393"/>
      <c r="AJ83" s="393"/>
      <c r="AK83" s="393"/>
      <c r="AL83" s="393"/>
      <c r="AM83" s="393"/>
      <c r="AN83" s="393"/>
      <c r="AO83" s="393"/>
      <c r="AP83" s="393"/>
      <c r="AQ83" s="393"/>
      <c r="AR83" s="393"/>
      <c r="AS83" s="393"/>
      <c r="AT83" s="393"/>
      <c r="AU83" s="393"/>
      <c r="AV83" s="393"/>
      <c r="AW83" s="393"/>
      <c r="AX83" s="393"/>
      <c r="AY83" s="393"/>
      <c r="AZ83" s="393"/>
      <c r="BA83" s="393"/>
      <c r="BB83" s="393"/>
      <c r="BC83" s="393"/>
      <c r="BD83" s="393"/>
      <c r="BE83" s="393"/>
      <c r="BF83" s="393"/>
      <c r="BG83" s="393"/>
      <c r="BH83" s="393"/>
      <c r="BI83" s="393"/>
      <c r="BJ83" s="393"/>
      <c r="BK83" s="393"/>
      <c r="BL83" s="393"/>
      <c r="BM83" s="393"/>
      <c r="BN83" s="393"/>
      <c r="BO83" s="393"/>
      <c r="BP83" s="393"/>
      <c r="BQ83" s="393"/>
      <c r="BR83" s="393"/>
      <c r="BS83" s="393"/>
      <c r="BT83" s="393"/>
      <c r="BU83" s="393"/>
      <c r="BV83" s="393"/>
      <c r="BW83" s="393"/>
      <c r="BX83" s="393"/>
      <c r="BY83" s="393"/>
      <c r="BZ83" s="393"/>
      <c r="CA83" s="393"/>
      <c r="CB83" s="393"/>
      <c r="CC83" s="393"/>
      <c r="CD83" s="393"/>
      <c r="CE83" s="393"/>
      <c r="CF83" s="393"/>
      <c r="CG83" s="393"/>
      <c r="CH83" s="393"/>
      <c r="CI83" s="393"/>
      <c r="CJ83" s="393"/>
      <c r="CK83" s="393"/>
      <c r="CL83" s="393"/>
      <c r="CM83" s="393"/>
      <c r="CN83" s="393"/>
      <c r="CO83" s="393"/>
      <c r="CP83" s="393"/>
      <c r="CQ83" s="393"/>
      <c r="CR83" s="393"/>
      <c r="CS83" s="393"/>
      <c r="CT83" s="393"/>
      <c r="CU83" s="393"/>
      <c r="CV83" s="393"/>
      <c r="CW83" s="393"/>
      <c r="CX83" s="393"/>
      <c r="CY83" s="393"/>
      <c r="CZ83" s="393"/>
      <c r="DA83" s="393"/>
      <c r="DB83" s="393"/>
      <c r="DC83" s="393"/>
      <c r="DD83" s="393"/>
    </row>
    <row r="84" spans="1:108" s="906" customFormat="1" ht="13.5" hidden="1" customHeight="1">
      <c r="A84" s="183"/>
      <c r="B84" s="203" t="s">
        <v>24</v>
      </c>
      <c r="C84" s="928"/>
      <c r="D84" s="929">
        <f>+D85+D86</f>
        <v>0</v>
      </c>
      <c r="E84" s="929">
        <f t="shared" ref="E84:I84" si="59">+E85+E86</f>
        <v>0</v>
      </c>
      <c r="F84" s="918">
        <f t="shared" si="59"/>
        <v>0</v>
      </c>
      <c r="G84" s="918">
        <f t="shared" si="59"/>
        <v>0</v>
      </c>
      <c r="H84" s="918">
        <f t="shared" si="59"/>
        <v>0</v>
      </c>
      <c r="I84" s="918">
        <f t="shared" si="59"/>
        <v>0</v>
      </c>
      <c r="J84" s="918">
        <v>0</v>
      </c>
      <c r="K84" s="918">
        <v>0</v>
      </c>
      <c r="L84" s="918">
        <v>0</v>
      </c>
      <c r="M84" s="3455" t="s">
        <v>61</v>
      </c>
      <c r="N84" s="924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93"/>
      <c r="AA84" s="393"/>
      <c r="AB84" s="393"/>
      <c r="AC84" s="393"/>
      <c r="AD84" s="393"/>
      <c r="AE84" s="393"/>
      <c r="AF84" s="393"/>
      <c r="AG84" s="393"/>
      <c r="AH84" s="393"/>
      <c r="AI84" s="393"/>
      <c r="AJ84" s="393"/>
      <c r="AK84" s="393"/>
      <c r="AL84" s="393"/>
      <c r="AM84" s="393"/>
      <c r="AN84" s="393"/>
      <c r="AO84" s="393"/>
      <c r="AP84" s="393"/>
      <c r="AQ84" s="393"/>
      <c r="AR84" s="393"/>
      <c r="AS84" s="393"/>
      <c r="AT84" s="393"/>
      <c r="AU84" s="393"/>
      <c r="AV84" s="393"/>
      <c r="AW84" s="393"/>
      <c r="AX84" s="393"/>
      <c r="AY84" s="393"/>
      <c r="AZ84" s="393"/>
      <c r="BA84" s="393"/>
      <c r="BB84" s="393"/>
      <c r="BC84" s="393"/>
      <c r="BD84" s="393"/>
      <c r="BE84" s="393"/>
      <c r="BF84" s="393"/>
      <c r="BG84" s="393"/>
      <c r="BH84" s="393"/>
      <c r="BI84" s="393"/>
      <c r="BJ84" s="393"/>
      <c r="BK84" s="393"/>
      <c r="BL84" s="393"/>
      <c r="BM84" s="393"/>
      <c r="BN84" s="393"/>
      <c r="BO84" s="393"/>
      <c r="BP84" s="393"/>
      <c r="BQ84" s="393"/>
      <c r="BR84" s="393"/>
      <c r="BS84" s="393"/>
      <c r="BT84" s="393"/>
      <c r="BU84" s="393"/>
      <c r="BV84" s="393"/>
      <c r="BW84" s="393"/>
      <c r="BX84" s="393"/>
      <c r="BY84" s="393"/>
      <c r="BZ84" s="393"/>
      <c r="CA84" s="393"/>
      <c r="CB84" s="393"/>
      <c r="CC84" s="393"/>
      <c r="CD84" s="393"/>
      <c r="CE84" s="393"/>
      <c r="CF84" s="393"/>
      <c r="CG84" s="393"/>
      <c r="CH84" s="393"/>
      <c r="CI84" s="393"/>
      <c r="CJ84" s="393"/>
      <c r="CK84" s="393"/>
      <c r="CL84" s="393"/>
      <c r="CM84" s="393"/>
      <c r="CN84" s="393"/>
      <c r="CO84" s="393"/>
      <c r="CP84" s="393"/>
      <c r="CQ84" s="393"/>
      <c r="CR84" s="393"/>
      <c r="CS84" s="393"/>
      <c r="CT84" s="393"/>
      <c r="CU84" s="393"/>
      <c r="CV84" s="393"/>
      <c r="CW84" s="393"/>
      <c r="CX84" s="393"/>
      <c r="CY84" s="393"/>
      <c r="CZ84" s="393"/>
      <c r="DA84" s="393"/>
      <c r="DB84" s="393"/>
      <c r="DC84" s="393"/>
      <c r="DD84" s="393"/>
    </row>
    <row r="85" spans="1:108" s="906" customFormat="1" ht="13.5" hidden="1" customHeight="1">
      <c r="A85" s="183"/>
      <c r="B85" s="917" t="s">
        <v>142</v>
      </c>
      <c r="C85" s="918"/>
      <c r="D85" s="918">
        <f>+D106</f>
        <v>0</v>
      </c>
      <c r="E85" s="918">
        <f t="shared" ref="E85:F86" si="60">+E106</f>
        <v>0</v>
      </c>
      <c r="F85" s="918">
        <f t="shared" si="60"/>
        <v>0</v>
      </c>
      <c r="G85" s="918">
        <v>0</v>
      </c>
      <c r="H85" s="918">
        <v>0</v>
      </c>
      <c r="I85" s="918">
        <v>0</v>
      </c>
      <c r="J85" s="918">
        <v>0</v>
      </c>
      <c r="K85" s="918">
        <v>0</v>
      </c>
      <c r="L85" s="918">
        <v>0</v>
      </c>
      <c r="M85" s="3456"/>
      <c r="N85" s="924"/>
      <c r="O85" s="393"/>
      <c r="P85" s="393"/>
      <c r="Q85" s="393"/>
      <c r="R85" s="393"/>
      <c r="S85" s="393"/>
      <c r="T85" s="393"/>
      <c r="U85" s="393"/>
      <c r="V85" s="393"/>
      <c r="W85" s="393"/>
      <c r="X85" s="393"/>
      <c r="Y85" s="393"/>
      <c r="Z85" s="393"/>
      <c r="AA85" s="393"/>
      <c r="AB85" s="393"/>
      <c r="AC85" s="393"/>
      <c r="AD85" s="393"/>
      <c r="AE85" s="393"/>
      <c r="AF85" s="393"/>
      <c r="AG85" s="393"/>
      <c r="AH85" s="393"/>
      <c r="AI85" s="393"/>
      <c r="AJ85" s="393"/>
      <c r="AK85" s="393"/>
      <c r="AL85" s="393"/>
      <c r="AM85" s="393"/>
      <c r="AN85" s="393"/>
      <c r="AO85" s="393"/>
      <c r="AP85" s="393"/>
      <c r="AQ85" s="393"/>
      <c r="AR85" s="393"/>
      <c r="AS85" s="393"/>
      <c r="AT85" s="393"/>
      <c r="AU85" s="393"/>
      <c r="AV85" s="393"/>
      <c r="AW85" s="393"/>
      <c r="AX85" s="393"/>
      <c r="AY85" s="393"/>
      <c r="AZ85" s="393"/>
      <c r="BA85" s="393"/>
      <c r="BB85" s="393"/>
      <c r="BC85" s="393"/>
      <c r="BD85" s="393"/>
      <c r="BE85" s="393"/>
      <c r="BF85" s="393"/>
      <c r="BG85" s="393"/>
      <c r="BH85" s="393"/>
      <c r="BI85" s="393"/>
      <c r="BJ85" s="393"/>
      <c r="BK85" s="393"/>
      <c r="BL85" s="393"/>
      <c r="BM85" s="393"/>
      <c r="BN85" s="393"/>
      <c r="BO85" s="393"/>
      <c r="BP85" s="393"/>
      <c r="BQ85" s="393"/>
      <c r="BR85" s="393"/>
      <c r="BS85" s="393"/>
      <c r="BT85" s="393"/>
      <c r="BU85" s="393"/>
      <c r="BV85" s="393"/>
      <c r="BW85" s="393"/>
      <c r="BX85" s="393"/>
      <c r="BY85" s="393"/>
      <c r="BZ85" s="393"/>
      <c r="CA85" s="393"/>
      <c r="CB85" s="393"/>
      <c r="CC85" s="393"/>
      <c r="CD85" s="393"/>
      <c r="CE85" s="393"/>
      <c r="CF85" s="393"/>
      <c r="CG85" s="393"/>
      <c r="CH85" s="393"/>
      <c r="CI85" s="393"/>
      <c r="CJ85" s="393"/>
      <c r="CK85" s="393"/>
      <c r="CL85" s="393"/>
      <c r="CM85" s="393"/>
      <c r="CN85" s="393"/>
      <c r="CO85" s="393"/>
      <c r="CP85" s="393"/>
      <c r="CQ85" s="393"/>
      <c r="CR85" s="393"/>
      <c r="CS85" s="393"/>
      <c r="CT85" s="393"/>
      <c r="CU85" s="393"/>
      <c r="CV85" s="393"/>
      <c r="CW85" s="393"/>
      <c r="CX85" s="393"/>
      <c r="CY85" s="393"/>
      <c r="CZ85" s="393"/>
      <c r="DA85" s="393"/>
      <c r="DB85" s="393"/>
      <c r="DC85" s="393"/>
      <c r="DD85" s="393"/>
    </row>
    <row r="86" spans="1:108" s="906" customFormat="1" ht="13.5" hidden="1" customHeight="1">
      <c r="A86" s="183"/>
      <c r="B86" s="917" t="s">
        <v>144</v>
      </c>
      <c r="C86" s="918"/>
      <c r="D86" s="918">
        <f>+D107</f>
        <v>0</v>
      </c>
      <c r="E86" s="918">
        <f t="shared" si="60"/>
        <v>0</v>
      </c>
      <c r="F86" s="918">
        <f t="shared" si="60"/>
        <v>0</v>
      </c>
      <c r="G86" s="918">
        <v>0</v>
      </c>
      <c r="H86" s="918">
        <v>0</v>
      </c>
      <c r="I86" s="918">
        <v>0</v>
      </c>
      <c r="J86" s="918"/>
      <c r="K86" s="918"/>
      <c r="L86" s="918"/>
      <c r="M86" s="3456"/>
      <c r="N86" s="924"/>
      <c r="O86" s="393"/>
      <c r="P86" s="393"/>
      <c r="Q86" s="393"/>
      <c r="R86" s="393"/>
      <c r="S86" s="393"/>
      <c r="T86" s="393"/>
      <c r="U86" s="393"/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3"/>
      <c r="AJ86" s="393"/>
      <c r="AK86" s="393"/>
      <c r="AL86" s="393"/>
      <c r="AM86" s="393"/>
      <c r="AN86" s="393"/>
      <c r="AO86" s="393"/>
      <c r="AP86" s="393"/>
      <c r="AQ86" s="393"/>
      <c r="AR86" s="393"/>
      <c r="AS86" s="393"/>
      <c r="AT86" s="393"/>
      <c r="AU86" s="393"/>
      <c r="AV86" s="393"/>
      <c r="AW86" s="393"/>
      <c r="AX86" s="393"/>
      <c r="AY86" s="393"/>
      <c r="AZ86" s="393"/>
      <c r="BA86" s="393"/>
      <c r="BB86" s="393"/>
      <c r="BC86" s="393"/>
      <c r="BD86" s="393"/>
      <c r="BE86" s="393"/>
      <c r="BF86" s="393"/>
      <c r="BG86" s="393"/>
      <c r="BH86" s="393"/>
      <c r="BI86" s="393"/>
      <c r="BJ86" s="393"/>
      <c r="BK86" s="393"/>
      <c r="BL86" s="393"/>
      <c r="BM86" s="393"/>
      <c r="BN86" s="393"/>
      <c r="BO86" s="393"/>
      <c r="BP86" s="393"/>
      <c r="BQ86" s="393"/>
      <c r="BR86" s="393"/>
      <c r="BS86" s="393"/>
      <c r="BT86" s="393"/>
      <c r="BU86" s="393"/>
      <c r="BV86" s="393"/>
      <c r="BW86" s="393"/>
      <c r="BX86" s="393"/>
      <c r="BY86" s="393"/>
      <c r="BZ86" s="393"/>
      <c r="CA86" s="393"/>
      <c r="CB86" s="393"/>
      <c r="CC86" s="393"/>
      <c r="CD86" s="393"/>
      <c r="CE86" s="393"/>
      <c r="CF86" s="393"/>
      <c r="CG86" s="393"/>
      <c r="CH86" s="393"/>
      <c r="CI86" s="393"/>
      <c r="CJ86" s="393"/>
      <c r="CK86" s="393"/>
      <c r="CL86" s="393"/>
      <c r="CM86" s="393"/>
      <c r="CN86" s="393"/>
      <c r="CO86" s="393"/>
      <c r="CP86" s="393"/>
      <c r="CQ86" s="393"/>
      <c r="CR86" s="393"/>
      <c r="CS86" s="393"/>
      <c r="CT86" s="393"/>
      <c r="CU86" s="393"/>
      <c r="CV86" s="393"/>
      <c r="CW86" s="393"/>
      <c r="CX86" s="393"/>
      <c r="CY86" s="393"/>
      <c r="CZ86" s="393"/>
      <c r="DA86" s="393"/>
      <c r="DB86" s="393"/>
      <c r="DC86" s="393"/>
      <c r="DD86" s="393"/>
    </row>
    <row r="87" spans="1:108" s="934" customFormat="1" ht="13.5" hidden="1" customHeight="1">
      <c r="A87" s="930"/>
      <c r="B87" s="203" t="s">
        <v>18</v>
      </c>
      <c r="C87" s="931"/>
      <c r="D87" s="931">
        <f>+D88</f>
        <v>0</v>
      </c>
      <c r="E87" s="931">
        <f t="shared" ref="E87:L87" si="61">+E88</f>
        <v>0</v>
      </c>
      <c r="F87" s="931">
        <f t="shared" si="61"/>
        <v>0</v>
      </c>
      <c r="G87" s="931">
        <f t="shared" si="61"/>
        <v>0</v>
      </c>
      <c r="H87" s="931">
        <f t="shared" si="61"/>
        <v>0</v>
      </c>
      <c r="I87" s="931">
        <f t="shared" si="61"/>
        <v>0</v>
      </c>
      <c r="J87" s="931">
        <f t="shared" si="61"/>
        <v>0</v>
      </c>
      <c r="K87" s="931">
        <f t="shared" si="61"/>
        <v>0</v>
      </c>
      <c r="L87" s="931">
        <f t="shared" si="61"/>
        <v>0</v>
      </c>
      <c r="M87" s="3456"/>
      <c r="N87" s="932"/>
      <c r="O87" s="933"/>
      <c r="P87" s="933"/>
      <c r="Q87" s="933"/>
      <c r="R87" s="933"/>
      <c r="S87" s="933"/>
      <c r="T87" s="933"/>
      <c r="U87" s="933"/>
      <c r="V87" s="933"/>
      <c r="W87" s="933"/>
      <c r="X87" s="933"/>
      <c r="Y87" s="933"/>
      <c r="Z87" s="933"/>
      <c r="AA87" s="933"/>
      <c r="AB87" s="933"/>
      <c r="AC87" s="933"/>
      <c r="AD87" s="933"/>
      <c r="AE87" s="933"/>
      <c r="AF87" s="933"/>
      <c r="AG87" s="933"/>
      <c r="AH87" s="933"/>
      <c r="AI87" s="933"/>
      <c r="AJ87" s="933"/>
      <c r="AK87" s="933"/>
      <c r="AL87" s="933"/>
      <c r="AM87" s="933"/>
      <c r="AN87" s="933"/>
      <c r="AO87" s="933"/>
      <c r="AP87" s="933"/>
      <c r="AQ87" s="933"/>
      <c r="AR87" s="933"/>
      <c r="AS87" s="933"/>
      <c r="AT87" s="933"/>
      <c r="AU87" s="933"/>
      <c r="AV87" s="933"/>
      <c r="AW87" s="933"/>
      <c r="AX87" s="933"/>
      <c r="AY87" s="933"/>
      <c r="AZ87" s="933"/>
      <c r="BA87" s="933"/>
      <c r="BB87" s="933"/>
      <c r="BC87" s="933"/>
      <c r="BD87" s="933"/>
      <c r="BE87" s="933"/>
      <c r="BF87" s="933"/>
      <c r="BG87" s="933"/>
      <c r="BH87" s="933"/>
      <c r="BI87" s="933"/>
      <c r="BJ87" s="933"/>
      <c r="BK87" s="933"/>
      <c r="BL87" s="933"/>
      <c r="BM87" s="933"/>
      <c r="BN87" s="933"/>
      <c r="BO87" s="933"/>
      <c r="BP87" s="933"/>
      <c r="BQ87" s="933"/>
      <c r="BR87" s="933"/>
      <c r="BS87" s="933"/>
      <c r="BT87" s="933"/>
      <c r="BU87" s="933"/>
      <c r="BV87" s="933"/>
      <c r="BW87" s="933"/>
      <c r="BX87" s="933"/>
      <c r="BY87" s="933"/>
      <c r="BZ87" s="933"/>
      <c r="CA87" s="933"/>
      <c r="CB87" s="933"/>
      <c r="CC87" s="933"/>
      <c r="CD87" s="933"/>
      <c r="CE87" s="933"/>
      <c r="CF87" s="933"/>
      <c r="CG87" s="933"/>
      <c r="CH87" s="933"/>
      <c r="CI87" s="933"/>
      <c r="CJ87" s="933"/>
      <c r="CK87" s="933"/>
      <c r="CL87" s="933"/>
      <c r="CM87" s="933"/>
      <c r="CN87" s="933"/>
      <c r="CO87" s="933"/>
      <c r="CP87" s="933"/>
      <c r="CQ87" s="933"/>
      <c r="CR87" s="933"/>
      <c r="CS87" s="933"/>
      <c r="CT87" s="933"/>
      <c r="CU87" s="933"/>
      <c r="CV87" s="933"/>
      <c r="CW87" s="933"/>
      <c r="CX87" s="933"/>
      <c r="CY87" s="933"/>
      <c r="CZ87" s="933"/>
      <c r="DA87" s="933"/>
      <c r="DB87" s="933"/>
      <c r="DC87" s="933"/>
      <c r="DD87" s="933"/>
    </row>
    <row r="88" spans="1:108" s="906" customFormat="1" ht="13.5" hidden="1" customHeight="1" thickBot="1">
      <c r="A88" s="183"/>
      <c r="B88" s="917" t="s">
        <v>35</v>
      </c>
      <c r="C88" s="918"/>
      <c r="D88" s="918">
        <f>+D109</f>
        <v>0</v>
      </c>
      <c r="E88" s="918">
        <f t="shared" ref="E88:F88" si="62">+E109</f>
        <v>0</v>
      </c>
      <c r="F88" s="918">
        <f t="shared" si="62"/>
        <v>0</v>
      </c>
      <c r="G88" s="918">
        <v>0</v>
      </c>
      <c r="H88" s="918">
        <v>0</v>
      </c>
      <c r="I88" s="918">
        <v>0</v>
      </c>
      <c r="J88" s="918">
        <v>0</v>
      </c>
      <c r="K88" s="918">
        <v>0</v>
      </c>
      <c r="L88" s="918">
        <v>0</v>
      </c>
      <c r="M88" s="3457"/>
      <c r="N88" s="924"/>
      <c r="O88" s="393"/>
      <c r="P88" s="393"/>
      <c r="Q88" s="393"/>
      <c r="R88" s="393"/>
      <c r="S88" s="393"/>
      <c r="T88" s="393"/>
      <c r="U88" s="393"/>
      <c r="V88" s="393"/>
      <c r="W88" s="393"/>
      <c r="X88" s="393"/>
      <c r="Y88" s="393"/>
      <c r="Z88" s="393"/>
      <c r="AA88" s="393"/>
      <c r="AB88" s="393"/>
      <c r="AC88" s="393"/>
      <c r="AD88" s="393"/>
      <c r="AE88" s="393"/>
      <c r="AF88" s="393"/>
      <c r="AG88" s="393"/>
      <c r="AH88" s="393"/>
      <c r="AI88" s="393"/>
      <c r="AJ88" s="393"/>
      <c r="AK88" s="393"/>
      <c r="AL88" s="393"/>
      <c r="AM88" s="393"/>
      <c r="AN88" s="393"/>
      <c r="AO88" s="393"/>
      <c r="AP88" s="393"/>
      <c r="AQ88" s="393"/>
      <c r="AR88" s="393"/>
      <c r="AS88" s="393"/>
      <c r="AT88" s="393"/>
      <c r="AU88" s="393"/>
      <c r="AV88" s="393"/>
      <c r="AW88" s="393"/>
      <c r="AX88" s="393"/>
      <c r="AY88" s="393"/>
      <c r="AZ88" s="393"/>
      <c r="BA88" s="393"/>
      <c r="BB88" s="393"/>
      <c r="BC88" s="393"/>
      <c r="BD88" s="393"/>
      <c r="BE88" s="393"/>
      <c r="BF88" s="393"/>
      <c r="BG88" s="393"/>
      <c r="BH88" s="393"/>
      <c r="BI88" s="393"/>
      <c r="BJ88" s="393"/>
      <c r="BK88" s="393"/>
      <c r="BL88" s="393"/>
      <c r="BM88" s="393"/>
      <c r="BN88" s="393"/>
      <c r="BO88" s="393"/>
      <c r="BP88" s="393"/>
      <c r="BQ88" s="393"/>
      <c r="BR88" s="393"/>
      <c r="BS88" s="393"/>
      <c r="BT88" s="393"/>
      <c r="BU88" s="393"/>
      <c r="BV88" s="393"/>
      <c r="BW88" s="393"/>
      <c r="BX88" s="393"/>
      <c r="BY88" s="393"/>
      <c r="BZ88" s="393"/>
      <c r="CA88" s="393"/>
      <c r="CB88" s="393"/>
      <c r="CC88" s="393"/>
      <c r="CD88" s="393"/>
      <c r="CE88" s="393"/>
      <c r="CF88" s="393"/>
      <c r="CG88" s="393"/>
      <c r="CH88" s="393"/>
      <c r="CI88" s="393"/>
      <c r="CJ88" s="393"/>
      <c r="CK88" s="393"/>
      <c r="CL88" s="393"/>
      <c r="CM88" s="393"/>
      <c r="CN88" s="393"/>
      <c r="CO88" s="393"/>
      <c r="CP88" s="393"/>
      <c r="CQ88" s="393"/>
      <c r="CR88" s="393"/>
      <c r="CS88" s="393"/>
      <c r="CT88" s="393"/>
      <c r="CU88" s="393"/>
      <c r="CV88" s="393"/>
      <c r="CW88" s="393"/>
      <c r="CX88" s="393"/>
      <c r="CY88" s="393"/>
      <c r="CZ88" s="393"/>
      <c r="DA88" s="393"/>
      <c r="DB88" s="393"/>
      <c r="DC88" s="393"/>
      <c r="DD88" s="393"/>
    </row>
    <row r="89" spans="1:108" s="906" customFormat="1" ht="39.75" hidden="1" customHeight="1">
      <c r="A89" s="3458" t="s">
        <v>63</v>
      </c>
      <c r="B89" s="204" t="s">
        <v>145</v>
      </c>
      <c r="C89" s="829" t="s">
        <v>81</v>
      </c>
      <c r="D89" s="205"/>
      <c r="E89" s="2804"/>
      <c r="F89" s="206"/>
      <c r="G89" s="206"/>
      <c r="H89" s="206"/>
      <c r="I89" s="206"/>
      <c r="J89" s="206"/>
      <c r="K89" s="206"/>
      <c r="L89" s="206"/>
      <c r="M89" s="207"/>
      <c r="N89" s="3445" t="s">
        <v>146</v>
      </c>
      <c r="O89" s="393"/>
      <c r="P89" s="393"/>
      <c r="Q89" s="393"/>
      <c r="R89" s="393"/>
      <c r="S89" s="393"/>
      <c r="T89" s="393"/>
      <c r="U89" s="393"/>
      <c r="V89" s="393"/>
      <c r="W89" s="393"/>
      <c r="X89" s="393"/>
      <c r="Y89" s="393"/>
      <c r="Z89" s="393"/>
      <c r="AA89" s="393"/>
      <c r="AB89" s="393"/>
      <c r="AC89" s="393"/>
      <c r="AD89" s="393"/>
      <c r="AE89" s="393"/>
      <c r="AF89" s="393"/>
      <c r="AG89" s="393"/>
      <c r="AH89" s="393"/>
      <c r="AI89" s="393"/>
      <c r="AJ89" s="393"/>
      <c r="AK89" s="393"/>
      <c r="AL89" s="393"/>
      <c r="AM89" s="393"/>
      <c r="AN89" s="393"/>
      <c r="AO89" s="393"/>
      <c r="AP89" s="393"/>
      <c r="AQ89" s="393"/>
      <c r="AR89" s="393"/>
      <c r="AS89" s="393"/>
      <c r="AT89" s="393"/>
      <c r="AU89" s="393"/>
      <c r="AV89" s="393"/>
      <c r="AW89" s="393"/>
      <c r="AX89" s="393"/>
      <c r="AY89" s="393"/>
      <c r="AZ89" s="393"/>
      <c r="BA89" s="393"/>
      <c r="BB89" s="393"/>
      <c r="BC89" s="393"/>
      <c r="BD89" s="393"/>
      <c r="BE89" s="393"/>
      <c r="BF89" s="393"/>
      <c r="BG89" s="393"/>
      <c r="BH89" s="393"/>
      <c r="BI89" s="393"/>
      <c r="BJ89" s="393"/>
      <c r="BK89" s="393"/>
      <c r="BL89" s="393"/>
      <c r="BM89" s="393"/>
      <c r="BN89" s="393"/>
      <c r="BO89" s="393"/>
      <c r="BP89" s="393"/>
      <c r="BQ89" s="393"/>
      <c r="BR89" s="393"/>
      <c r="BS89" s="393"/>
      <c r="BT89" s="393"/>
      <c r="BU89" s="393"/>
      <c r="BV89" s="393"/>
      <c r="BW89" s="393"/>
      <c r="BX89" s="393"/>
      <c r="BY89" s="393"/>
      <c r="BZ89" s="393"/>
      <c r="CA89" s="393"/>
      <c r="CB89" s="393"/>
      <c r="CC89" s="393"/>
      <c r="CD89" s="393"/>
      <c r="CE89" s="393"/>
      <c r="CF89" s="393"/>
      <c r="CG89" s="393"/>
      <c r="CH89" s="393"/>
      <c r="CI89" s="393"/>
      <c r="CJ89" s="393"/>
      <c r="CK89" s="393"/>
      <c r="CL89" s="393"/>
      <c r="CM89" s="393"/>
      <c r="CN89" s="393"/>
      <c r="CO89" s="393"/>
      <c r="CP89" s="393"/>
      <c r="CQ89" s="393"/>
      <c r="CR89" s="393"/>
      <c r="CS89" s="393"/>
      <c r="CT89" s="393"/>
      <c r="CU89" s="393"/>
      <c r="CV89" s="393"/>
      <c r="CW89" s="393"/>
      <c r="CX89" s="393"/>
      <c r="CY89" s="393"/>
      <c r="CZ89" s="393"/>
      <c r="DA89" s="393"/>
      <c r="DB89" s="393"/>
      <c r="DC89" s="393"/>
      <c r="DD89" s="393"/>
    </row>
    <row r="90" spans="1:108" s="906" customFormat="1" ht="18.75" hidden="1" customHeight="1">
      <c r="A90" s="3459"/>
      <c r="B90" s="208" t="s">
        <v>10</v>
      </c>
      <c r="C90" s="209"/>
      <c r="D90" s="210"/>
      <c r="E90" s="210"/>
      <c r="F90" s="210">
        <f t="shared" ref="F90:G91" si="63">F91</f>
        <v>0</v>
      </c>
      <c r="G90" s="210">
        <f t="shared" si="63"/>
        <v>0</v>
      </c>
      <c r="H90" s="210"/>
      <c r="I90" s="210"/>
      <c r="J90" s="210"/>
      <c r="K90" s="210"/>
      <c r="L90" s="210"/>
      <c r="M90" s="211">
        <f>+M91</f>
        <v>0</v>
      </c>
      <c r="N90" s="3446"/>
      <c r="O90" s="393"/>
      <c r="P90" s="393"/>
      <c r="Q90" s="393"/>
      <c r="R90" s="393"/>
      <c r="S90" s="393"/>
      <c r="T90" s="393"/>
      <c r="U90" s="393"/>
      <c r="V90" s="393"/>
      <c r="W90" s="393"/>
      <c r="X90" s="393"/>
      <c r="Y90" s="393"/>
      <c r="Z90" s="393"/>
      <c r="AA90" s="393"/>
      <c r="AB90" s="393"/>
      <c r="AC90" s="393"/>
      <c r="AD90" s="393"/>
      <c r="AE90" s="393"/>
      <c r="AF90" s="393"/>
      <c r="AG90" s="393"/>
      <c r="AH90" s="393"/>
      <c r="AI90" s="393"/>
      <c r="AJ90" s="393"/>
      <c r="AK90" s="393"/>
      <c r="AL90" s="393"/>
      <c r="AM90" s="393"/>
      <c r="AN90" s="393"/>
      <c r="AO90" s="393"/>
      <c r="AP90" s="393"/>
      <c r="AQ90" s="393"/>
      <c r="AR90" s="393"/>
      <c r="AS90" s="393"/>
      <c r="AT90" s="393"/>
      <c r="AU90" s="393"/>
      <c r="AV90" s="393"/>
      <c r="AW90" s="393"/>
      <c r="AX90" s="393"/>
      <c r="AY90" s="393"/>
      <c r="AZ90" s="393"/>
      <c r="BA90" s="393"/>
      <c r="BB90" s="393"/>
      <c r="BC90" s="393"/>
      <c r="BD90" s="393"/>
      <c r="BE90" s="393"/>
      <c r="BF90" s="393"/>
      <c r="BG90" s="393"/>
      <c r="BH90" s="393"/>
      <c r="BI90" s="393"/>
      <c r="BJ90" s="393"/>
      <c r="BK90" s="393"/>
      <c r="BL90" s="393"/>
      <c r="BM90" s="393"/>
      <c r="BN90" s="393"/>
      <c r="BO90" s="393"/>
      <c r="BP90" s="393"/>
      <c r="BQ90" s="393"/>
      <c r="BR90" s="393"/>
      <c r="BS90" s="393"/>
      <c r="BT90" s="393"/>
      <c r="BU90" s="393"/>
      <c r="BV90" s="393"/>
      <c r="BW90" s="393"/>
      <c r="BX90" s="393"/>
      <c r="BY90" s="393"/>
      <c r="BZ90" s="393"/>
      <c r="CA90" s="393"/>
      <c r="CB90" s="393"/>
      <c r="CC90" s="393"/>
      <c r="CD90" s="393"/>
      <c r="CE90" s="393"/>
      <c r="CF90" s="393"/>
      <c r="CG90" s="393"/>
      <c r="CH90" s="393"/>
      <c r="CI90" s="393"/>
      <c r="CJ90" s="393"/>
      <c r="CK90" s="393"/>
      <c r="CL90" s="393"/>
      <c r="CM90" s="393"/>
      <c r="CN90" s="393"/>
      <c r="CO90" s="393"/>
      <c r="CP90" s="393"/>
      <c r="CQ90" s="393"/>
      <c r="CR90" s="393"/>
      <c r="CS90" s="393"/>
      <c r="CT90" s="393"/>
      <c r="CU90" s="393"/>
      <c r="CV90" s="393"/>
      <c r="CW90" s="393"/>
      <c r="CX90" s="393"/>
      <c r="CY90" s="393"/>
      <c r="CZ90" s="393"/>
      <c r="DA90" s="393"/>
      <c r="DB90" s="393"/>
      <c r="DC90" s="393"/>
      <c r="DD90" s="393"/>
    </row>
    <row r="91" spans="1:108" s="381" customFormat="1" ht="18.75" hidden="1" customHeight="1">
      <c r="A91" s="3459"/>
      <c r="B91" s="935" t="s">
        <v>24</v>
      </c>
      <c r="C91" s="3109" t="s">
        <v>147</v>
      </c>
      <c r="D91" s="936"/>
      <c r="E91" s="936"/>
      <c r="F91" s="936">
        <f t="shared" si="63"/>
        <v>0</v>
      </c>
      <c r="G91" s="936">
        <f t="shared" si="63"/>
        <v>0</v>
      </c>
      <c r="H91" s="936"/>
      <c r="I91" s="936"/>
      <c r="J91" s="936"/>
      <c r="K91" s="936"/>
      <c r="L91" s="936"/>
      <c r="M91" s="937">
        <f>+M92</f>
        <v>0</v>
      </c>
      <c r="N91" s="3446"/>
    </row>
    <row r="92" spans="1:108" s="906" customFormat="1" ht="18.75" hidden="1" customHeight="1" thickBot="1">
      <c r="A92" s="3460"/>
      <c r="B92" s="938" t="s">
        <v>12</v>
      </c>
      <c r="C92" s="3381"/>
      <c r="D92" s="939"/>
      <c r="E92" s="939"/>
      <c r="F92" s="939">
        <v>0</v>
      </c>
      <c r="G92" s="939">
        <v>0</v>
      </c>
      <c r="H92" s="939"/>
      <c r="I92" s="939"/>
      <c r="J92" s="939"/>
      <c r="K92" s="939"/>
      <c r="L92" s="939"/>
      <c r="M92" s="919">
        <f>SUM(F92:H92)</f>
        <v>0</v>
      </c>
      <c r="N92" s="3447"/>
      <c r="O92" s="393"/>
      <c r="P92" s="393"/>
      <c r="Q92" s="393"/>
      <c r="R92" s="393"/>
      <c r="S92" s="393"/>
      <c r="T92" s="393"/>
      <c r="U92" s="393"/>
      <c r="V92" s="393"/>
      <c r="W92" s="393"/>
      <c r="X92" s="393"/>
      <c r="Y92" s="393"/>
      <c r="Z92" s="393"/>
      <c r="AA92" s="393"/>
      <c r="AB92" s="393"/>
      <c r="AC92" s="393"/>
      <c r="AD92" s="393"/>
      <c r="AE92" s="393"/>
      <c r="AF92" s="393"/>
      <c r="AG92" s="393"/>
      <c r="AH92" s="393"/>
      <c r="AI92" s="393"/>
      <c r="AJ92" s="393"/>
      <c r="AK92" s="393"/>
      <c r="AL92" s="393"/>
      <c r="AM92" s="393"/>
      <c r="AN92" s="393"/>
      <c r="AO92" s="393"/>
      <c r="AP92" s="393"/>
      <c r="AQ92" s="393"/>
      <c r="AR92" s="393"/>
      <c r="AS92" s="393"/>
      <c r="AT92" s="393"/>
      <c r="AU92" s="393"/>
      <c r="AV92" s="393"/>
      <c r="AW92" s="393"/>
      <c r="AX92" s="393"/>
      <c r="AY92" s="393"/>
      <c r="AZ92" s="393"/>
      <c r="BA92" s="393"/>
      <c r="BB92" s="393"/>
      <c r="BC92" s="393"/>
      <c r="BD92" s="393"/>
      <c r="BE92" s="393"/>
      <c r="BF92" s="393"/>
      <c r="BG92" s="393"/>
      <c r="BH92" s="393"/>
      <c r="BI92" s="393"/>
      <c r="BJ92" s="393"/>
      <c r="BK92" s="393"/>
      <c r="BL92" s="393"/>
      <c r="BM92" s="393"/>
      <c r="BN92" s="393"/>
      <c r="BO92" s="393"/>
      <c r="BP92" s="393"/>
      <c r="BQ92" s="393"/>
      <c r="BR92" s="393"/>
      <c r="BS92" s="393"/>
      <c r="BT92" s="393"/>
      <c r="BU92" s="393"/>
      <c r="BV92" s="393"/>
      <c r="BW92" s="393"/>
      <c r="BX92" s="393"/>
      <c r="BY92" s="393"/>
      <c r="BZ92" s="393"/>
      <c r="CA92" s="393"/>
      <c r="CB92" s="393"/>
      <c r="CC92" s="393"/>
      <c r="CD92" s="393"/>
      <c r="CE92" s="393"/>
      <c r="CF92" s="393"/>
      <c r="CG92" s="393"/>
      <c r="CH92" s="393"/>
      <c r="CI92" s="393"/>
      <c r="CJ92" s="393"/>
      <c r="CK92" s="393"/>
      <c r="CL92" s="393"/>
      <c r="CM92" s="393"/>
      <c r="CN92" s="393"/>
      <c r="CO92" s="393"/>
      <c r="CP92" s="393"/>
      <c r="CQ92" s="393"/>
      <c r="CR92" s="393"/>
      <c r="CS92" s="393"/>
      <c r="CT92" s="393"/>
      <c r="CU92" s="393"/>
      <c r="CV92" s="393"/>
      <c r="CW92" s="393"/>
      <c r="CX92" s="393"/>
      <c r="CY92" s="393"/>
      <c r="CZ92" s="393"/>
      <c r="DA92" s="393"/>
      <c r="DB92" s="393"/>
      <c r="DC92" s="393"/>
      <c r="DD92" s="393"/>
    </row>
    <row r="93" spans="1:108" ht="12.75" hidden="1" customHeight="1">
      <c r="A93" s="3441" t="s">
        <v>64</v>
      </c>
      <c r="B93" s="2751" t="s">
        <v>148</v>
      </c>
      <c r="C93" s="2752" t="s">
        <v>81</v>
      </c>
      <c r="D93" s="2752"/>
      <c r="E93" s="2752"/>
      <c r="F93" s="2752"/>
      <c r="G93" s="2752"/>
      <c r="H93" s="2752"/>
      <c r="I93" s="2752"/>
      <c r="J93" s="2752"/>
      <c r="K93" s="2752"/>
      <c r="L93" s="2752"/>
      <c r="M93" s="940"/>
      <c r="N93" s="3265" t="s">
        <v>149</v>
      </c>
    </row>
    <row r="94" spans="1:108" ht="13.5" hidden="1" customHeight="1">
      <c r="A94" s="3435"/>
      <c r="B94" s="826" t="s">
        <v>10</v>
      </c>
      <c r="C94" s="941"/>
      <c r="D94" s="2752"/>
      <c r="E94" s="2752"/>
      <c r="F94" s="2752">
        <v>0</v>
      </c>
      <c r="G94" s="2752">
        <v>0</v>
      </c>
      <c r="H94" s="2752"/>
      <c r="I94" s="2752"/>
      <c r="J94" s="2752"/>
      <c r="K94" s="2752"/>
      <c r="L94" s="2752"/>
      <c r="M94" s="940"/>
      <c r="N94" s="3265"/>
    </row>
    <row r="95" spans="1:108" ht="14.25" hidden="1" customHeight="1">
      <c r="A95" s="3435"/>
      <c r="B95" s="2751" t="s">
        <v>24</v>
      </c>
      <c r="C95" s="3442" t="s">
        <v>150</v>
      </c>
      <c r="D95" s="2752"/>
      <c r="E95" s="2752"/>
      <c r="F95" s="2752">
        <v>0</v>
      </c>
      <c r="G95" s="2752">
        <v>0</v>
      </c>
      <c r="H95" s="2752"/>
      <c r="I95" s="2752"/>
      <c r="J95" s="2752"/>
      <c r="K95" s="2752"/>
      <c r="L95" s="2752"/>
      <c r="M95" s="940"/>
      <c r="N95" s="3433"/>
    </row>
    <row r="96" spans="1:108" ht="15" hidden="1" customHeight="1" thickBot="1">
      <c r="A96" s="3435"/>
      <c r="B96" s="2751" t="s">
        <v>12</v>
      </c>
      <c r="C96" s="3442"/>
      <c r="D96" s="2752"/>
      <c r="E96" s="2752"/>
      <c r="F96" s="2752">
        <v>0</v>
      </c>
      <c r="G96" s="2752">
        <v>0</v>
      </c>
      <c r="H96" s="2752"/>
      <c r="I96" s="2752"/>
      <c r="J96" s="2752"/>
      <c r="K96" s="2752"/>
      <c r="L96" s="2752"/>
      <c r="M96" s="940"/>
      <c r="N96" s="3433"/>
    </row>
    <row r="97" spans="1:14" ht="36.75" hidden="1" customHeight="1">
      <c r="A97" s="3434" t="s">
        <v>63</v>
      </c>
      <c r="B97" s="204" t="s">
        <v>264</v>
      </c>
      <c r="C97" s="942" t="s">
        <v>81</v>
      </c>
      <c r="D97" s="212"/>
      <c r="E97" s="2804"/>
      <c r="F97" s="206"/>
      <c r="G97" s="206"/>
      <c r="H97" s="206"/>
      <c r="I97" s="206"/>
      <c r="J97" s="206"/>
      <c r="K97" s="206"/>
      <c r="L97" s="206"/>
      <c r="M97" s="943"/>
      <c r="N97" s="3443" t="s">
        <v>220</v>
      </c>
    </row>
    <row r="98" spans="1:14" ht="14.25" hidden="1" customHeight="1">
      <c r="A98" s="3441"/>
      <c r="B98" s="626" t="s">
        <v>10</v>
      </c>
      <c r="C98" s="941"/>
      <c r="D98" s="831"/>
      <c r="E98" s="831">
        <f>+E99+E102</f>
        <v>0</v>
      </c>
      <c r="F98" s="831">
        <v>0</v>
      </c>
      <c r="G98" s="831">
        <v>0</v>
      </c>
      <c r="H98" s="831">
        <v>0</v>
      </c>
      <c r="I98" s="831">
        <v>0</v>
      </c>
      <c r="J98" s="831">
        <v>0</v>
      </c>
      <c r="K98" s="831">
        <v>0</v>
      </c>
      <c r="L98" s="831">
        <v>0</v>
      </c>
      <c r="M98" s="211">
        <f>+M99</f>
        <v>0</v>
      </c>
      <c r="N98" s="3443"/>
    </row>
    <row r="99" spans="1:14" ht="15.75" hidden="1" customHeight="1">
      <c r="A99" s="3441"/>
      <c r="B99" s="832" t="s">
        <v>24</v>
      </c>
      <c r="C99" s="3109" t="s">
        <v>151</v>
      </c>
      <c r="D99" s="833"/>
      <c r="E99" s="833">
        <f t="shared" ref="E99" si="64">E100+E101</f>
        <v>0</v>
      </c>
      <c r="F99" s="833">
        <f t="shared" ref="F99:L99" si="65">F100+F101</f>
        <v>0</v>
      </c>
      <c r="G99" s="833">
        <f t="shared" si="65"/>
        <v>0</v>
      </c>
      <c r="H99" s="833">
        <f t="shared" si="65"/>
        <v>0</v>
      </c>
      <c r="I99" s="833">
        <f t="shared" si="65"/>
        <v>0</v>
      </c>
      <c r="J99" s="833">
        <f t="shared" si="65"/>
        <v>0</v>
      </c>
      <c r="K99" s="833">
        <f t="shared" si="65"/>
        <v>0</v>
      </c>
      <c r="L99" s="833">
        <f t="shared" si="65"/>
        <v>0</v>
      </c>
      <c r="M99" s="861">
        <f>+M101</f>
        <v>0</v>
      </c>
      <c r="N99" s="3443"/>
    </row>
    <row r="100" spans="1:14" ht="13.5" hidden="1" customHeight="1">
      <c r="A100" s="3441"/>
      <c r="B100" s="257" t="s">
        <v>142</v>
      </c>
      <c r="C100" s="3388"/>
      <c r="D100" s="880"/>
      <c r="E100" s="880"/>
      <c r="F100" s="834">
        <v>0</v>
      </c>
      <c r="G100" s="834">
        <v>0</v>
      </c>
      <c r="H100" s="834">
        <v>0</v>
      </c>
      <c r="I100" s="834">
        <v>0</v>
      </c>
      <c r="J100" s="834">
        <v>0</v>
      </c>
      <c r="K100" s="834">
        <v>0</v>
      </c>
      <c r="L100" s="834">
        <v>0</v>
      </c>
      <c r="M100" s="923" t="s">
        <v>61</v>
      </c>
      <c r="N100" s="3443"/>
    </row>
    <row r="101" spans="1:14" ht="13.5" hidden="1" customHeight="1">
      <c r="A101" s="3441"/>
      <c r="B101" s="836" t="s">
        <v>143</v>
      </c>
      <c r="C101" s="3388"/>
      <c r="D101" s="880"/>
      <c r="E101" s="880"/>
      <c r="F101" s="840">
        <v>0</v>
      </c>
      <c r="G101" s="840">
        <v>0</v>
      </c>
      <c r="H101" s="840">
        <v>0</v>
      </c>
      <c r="I101" s="840">
        <v>0</v>
      </c>
      <c r="J101" s="840">
        <v>0</v>
      </c>
      <c r="K101" s="840">
        <v>0</v>
      </c>
      <c r="L101" s="840">
        <v>0</v>
      </c>
      <c r="M101" s="861"/>
      <c r="N101" s="3443"/>
    </row>
    <row r="102" spans="1:14" ht="12" hidden="1" customHeight="1">
      <c r="A102" s="3441"/>
      <c r="B102" s="832" t="s">
        <v>18</v>
      </c>
      <c r="C102" s="3388"/>
      <c r="D102" s="833"/>
      <c r="E102" s="833">
        <f t="shared" ref="E102" si="66">+E103</f>
        <v>0</v>
      </c>
      <c r="F102" s="833">
        <v>0</v>
      </c>
      <c r="G102" s="833">
        <v>0</v>
      </c>
      <c r="H102" s="833">
        <v>0</v>
      </c>
      <c r="I102" s="833">
        <v>0</v>
      </c>
      <c r="J102" s="833">
        <v>0</v>
      </c>
      <c r="K102" s="833">
        <v>0</v>
      </c>
      <c r="L102" s="833">
        <v>0</v>
      </c>
      <c r="M102" s="923" t="str">
        <f>+M103</f>
        <v>x</v>
      </c>
      <c r="N102" s="3443"/>
    </row>
    <row r="103" spans="1:14" ht="14.25" hidden="1" customHeight="1">
      <c r="A103" s="3441"/>
      <c r="B103" s="944" t="s">
        <v>35</v>
      </c>
      <c r="C103" s="3377"/>
      <c r="D103" s="880"/>
      <c r="E103" s="880"/>
      <c r="F103" s="945">
        <v>0</v>
      </c>
      <c r="G103" s="945">
        <v>0</v>
      </c>
      <c r="H103" s="945">
        <v>0</v>
      </c>
      <c r="I103" s="945">
        <v>0</v>
      </c>
      <c r="J103" s="945">
        <v>0</v>
      </c>
      <c r="K103" s="945">
        <v>0</v>
      </c>
      <c r="L103" s="945">
        <v>0</v>
      </c>
      <c r="M103" s="946" t="s">
        <v>61</v>
      </c>
      <c r="N103" s="3443"/>
    </row>
    <row r="104" spans="1:14" ht="13.5" hidden="1" customHeight="1">
      <c r="A104" s="3441"/>
      <c r="B104" s="826" t="s">
        <v>22</v>
      </c>
      <c r="C104" s="941"/>
      <c r="D104" s="831"/>
      <c r="E104" s="831">
        <f>E108+E105</f>
        <v>0</v>
      </c>
      <c r="F104" s="831">
        <v>0</v>
      </c>
      <c r="G104" s="831">
        <v>0</v>
      </c>
      <c r="H104" s="831">
        <v>0</v>
      </c>
      <c r="I104" s="831">
        <v>0</v>
      </c>
      <c r="J104" s="831">
        <v>0</v>
      </c>
      <c r="K104" s="831">
        <v>0</v>
      </c>
      <c r="L104" s="831">
        <v>0</v>
      </c>
      <c r="M104" s="211"/>
      <c r="N104" s="3443"/>
    </row>
    <row r="105" spans="1:14" ht="14.25" hidden="1" customHeight="1">
      <c r="A105" s="3441"/>
      <c r="B105" s="783" t="s">
        <v>24</v>
      </c>
      <c r="C105" s="3451" t="s">
        <v>23</v>
      </c>
      <c r="D105" s="947"/>
      <c r="E105" s="947">
        <f t="shared" ref="E105" si="67">+E107+E106</f>
        <v>0</v>
      </c>
      <c r="F105" s="833">
        <f t="shared" ref="F105:L105" si="68">+F107+F106</f>
        <v>0</v>
      </c>
      <c r="G105" s="833">
        <f t="shared" si="68"/>
        <v>0</v>
      </c>
      <c r="H105" s="833">
        <f t="shared" si="68"/>
        <v>0</v>
      </c>
      <c r="I105" s="833">
        <f t="shared" si="68"/>
        <v>0</v>
      </c>
      <c r="J105" s="833">
        <f t="shared" si="68"/>
        <v>0</v>
      </c>
      <c r="K105" s="833">
        <f t="shared" si="68"/>
        <v>0</v>
      </c>
      <c r="L105" s="833">
        <f t="shared" si="68"/>
        <v>0</v>
      </c>
      <c r="M105" s="3455" t="s">
        <v>61</v>
      </c>
      <c r="N105" s="3443"/>
    </row>
    <row r="106" spans="1:14" ht="13.5" hidden="1" customHeight="1">
      <c r="A106" s="3441"/>
      <c r="B106" s="257" t="s">
        <v>142</v>
      </c>
      <c r="C106" s="3452"/>
      <c r="D106" s="880"/>
      <c r="E106" s="880"/>
      <c r="F106" s="948">
        <v>0</v>
      </c>
      <c r="G106" s="948">
        <v>0</v>
      </c>
      <c r="H106" s="948">
        <v>0</v>
      </c>
      <c r="I106" s="948">
        <v>0</v>
      </c>
      <c r="J106" s="948">
        <v>0</v>
      </c>
      <c r="K106" s="948">
        <v>0</v>
      </c>
      <c r="L106" s="948">
        <v>0</v>
      </c>
      <c r="M106" s="3456"/>
      <c r="N106" s="3443"/>
    </row>
    <row r="107" spans="1:14" ht="13.5" hidden="1" customHeight="1">
      <c r="A107" s="3441"/>
      <c r="B107" s="836" t="s">
        <v>152</v>
      </c>
      <c r="C107" s="3452"/>
      <c r="D107" s="880"/>
      <c r="E107" s="2805"/>
      <c r="F107" s="840">
        <v>0</v>
      </c>
      <c r="G107" s="840">
        <v>0</v>
      </c>
      <c r="H107" s="840">
        <v>0</v>
      </c>
      <c r="I107" s="840">
        <v>0</v>
      </c>
      <c r="J107" s="840">
        <v>0</v>
      </c>
      <c r="K107" s="840">
        <v>0</v>
      </c>
      <c r="L107" s="840">
        <v>0</v>
      </c>
      <c r="M107" s="3456"/>
      <c r="N107" s="3443"/>
    </row>
    <row r="108" spans="1:14" ht="12.75" hidden="1" customHeight="1">
      <c r="A108" s="3441"/>
      <c r="B108" s="832" t="s">
        <v>18</v>
      </c>
      <c r="C108" s="3452"/>
      <c r="D108" s="947"/>
      <c r="E108" s="947">
        <f t="shared" ref="E108" si="69">+E109</f>
        <v>0</v>
      </c>
      <c r="F108" s="833">
        <v>0</v>
      </c>
      <c r="G108" s="833">
        <v>0</v>
      </c>
      <c r="H108" s="833">
        <v>0</v>
      </c>
      <c r="I108" s="833">
        <v>0</v>
      </c>
      <c r="J108" s="833"/>
      <c r="K108" s="833"/>
      <c r="L108" s="833"/>
      <c r="M108" s="3456"/>
      <c r="N108" s="3443"/>
    </row>
    <row r="109" spans="1:14" ht="13.5" hidden="1" customHeight="1" thickBot="1">
      <c r="A109" s="3441"/>
      <c r="B109" s="949" t="s">
        <v>35</v>
      </c>
      <c r="C109" s="3453"/>
      <c r="D109" s="880"/>
      <c r="E109" s="880">
        <v>0</v>
      </c>
      <c r="F109" s="948">
        <v>0</v>
      </c>
      <c r="G109" s="948">
        <v>0</v>
      </c>
      <c r="H109" s="948">
        <v>0</v>
      </c>
      <c r="I109" s="948">
        <v>0</v>
      </c>
      <c r="J109" s="948">
        <v>0</v>
      </c>
      <c r="K109" s="948">
        <v>0</v>
      </c>
      <c r="L109" s="948">
        <v>0</v>
      </c>
      <c r="M109" s="3457"/>
      <c r="N109" s="3444"/>
    </row>
    <row r="110" spans="1:14" ht="26.25" hidden="1" customHeight="1">
      <c r="A110" s="3434" t="s">
        <v>63</v>
      </c>
      <c r="B110" s="790" t="s">
        <v>224</v>
      </c>
      <c r="C110" s="950" t="s">
        <v>81</v>
      </c>
      <c r="D110" s="292"/>
      <c r="E110" s="2804"/>
      <c r="F110" s="206"/>
      <c r="G110" s="206"/>
      <c r="H110" s="206"/>
      <c r="I110" s="206"/>
      <c r="J110" s="206"/>
      <c r="K110" s="206"/>
      <c r="L110" s="206"/>
      <c r="M110" s="874"/>
      <c r="N110" s="3175" t="s">
        <v>232</v>
      </c>
    </row>
    <row r="111" spans="1:14" s="865" customFormat="1" ht="17.25" hidden="1" customHeight="1">
      <c r="A111" s="3435"/>
      <c r="B111" s="951" t="s">
        <v>10</v>
      </c>
      <c r="C111" s="941"/>
      <c r="D111" s="846"/>
      <c r="E111" s="846">
        <f t="shared" ref="E111:J112" si="70">E112</f>
        <v>0</v>
      </c>
      <c r="F111" s="846">
        <f t="shared" si="70"/>
        <v>0</v>
      </c>
      <c r="G111" s="846">
        <f t="shared" si="70"/>
        <v>0</v>
      </c>
      <c r="H111" s="846">
        <f t="shared" si="70"/>
        <v>0</v>
      </c>
      <c r="I111" s="846">
        <f t="shared" si="70"/>
        <v>0</v>
      </c>
      <c r="J111" s="846">
        <f t="shared" si="70"/>
        <v>0</v>
      </c>
      <c r="K111" s="846">
        <f>K112</f>
        <v>0</v>
      </c>
      <c r="L111" s="846">
        <f>L112</f>
        <v>0</v>
      </c>
      <c r="M111" s="952">
        <f>+M112</f>
        <v>0</v>
      </c>
      <c r="N111" s="3159"/>
    </row>
    <row r="112" spans="1:14" s="955" customFormat="1" ht="15" hidden="1" customHeight="1">
      <c r="A112" s="3435"/>
      <c r="B112" s="953" t="s">
        <v>24</v>
      </c>
      <c r="C112" s="3437" t="s">
        <v>151</v>
      </c>
      <c r="D112" s="947"/>
      <c r="E112" s="947">
        <f>E113</f>
        <v>0</v>
      </c>
      <c r="F112" s="947">
        <f t="shared" si="70"/>
        <v>0</v>
      </c>
      <c r="G112" s="947">
        <f t="shared" si="70"/>
        <v>0</v>
      </c>
      <c r="H112" s="947">
        <f t="shared" si="70"/>
        <v>0</v>
      </c>
      <c r="I112" s="947">
        <f t="shared" si="70"/>
        <v>0</v>
      </c>
      <c r="J112" s="947">
        <f t="shared" si="70"/>
        <v>0</v>
      </c>
      <c r="K112" s="947">
        <f>K113</f>
        <v>0</v>
      </c>
      <c r="L112" s="947">
        <f>L113</f>
        <v>0</v>
      </c>
      <c r="M112" s="954">
        <f>+M113</f>
        <v>0</v>
      </c>
      <c r="N112" s="3159"/>
    </row>
    <row r="113" spans="1:14" s="865" customFormat="1" ht="15" hidden="1" customHeight="1" thickBot="1">
      <c r="A113" s="3436"/>
      <c r="B113" s="956" t="s">
        <v>143</v>
      </c>
      <c r="C113" s="3438"/>
      <c r="D113" s="788"/>
      <c r="E113" s="788">
        <v>0</v>
      </c>
      <c r="F113" s="848">
        <v>0</v>
      </c>
      <c r="G113" s="848">
        <v>0</v>
      </c>
      <c r="H113" s="848">
        <v>0</v>
      </c>
      <c r="I113" s="848">
        <v>0</v>
      </c>
      <c r="J113" s="848">
        <v>0</v>
      </c>
      <c r="K113" s="848">
        <v>0</v>
      </c>
      <c r="L113" s="848">
        <v>0</v>
      </c>
      <c r="M113" s="957"/>
      <c r="N113" s="3160"/>
    </row>
    <row r="114" spans="1:14" ht="12.75">
      <c r="A114" s="2752"/>
      <c r="B114" s="2752"/>
      <c r="C114" s="2752"/>
      <c r="D114" s="2752"/>
      <c r="E114" s="2752"/>
      <c r="F114" s="2752"/>
      <c r="G114" s="2752"/>
      <c r="H114" s="2752"/>
      <c r="I114" s="2752"/>
      <c r="J114" s="2752"/>
      <c r="K114" s="2752"/>
      <c r="L114" s="2752"/>
      <c r="M114" s="2752"/>
    </row>
    <row r="115" spans="1:14" ht="12.75">
      <c r="A115" s="2752"/>
      <c r="B115" s="1925" t="s">
        <v>493</v>
      </c>
      <c r="C115" s="1996"/>
      <c r="D115" s="1996"/>
      <c r="E115" s="1996"/>
      <c r="F115" s="1996"/>
      <c r="G115" s="1996"/>
      <c r="H115" s="1996"/>
      <c r="I115" s="1996"/>
      <c r="J115" s="1996"/>
      <c r="K115" s="1996"/>
      <c r="L115" s="1996"/>
      <c r="M115" s="2752"/>
    </row>
    <row r="116" spans="1:14" ht="12.75">
      <c r="A116" s="2752"/>
      <c r="B116" s="1925" t="s">
        <v>494</v>
      </c>
      <c r="C116" s="1996"/>
      <c r="D116" s="2002">
        <f>D68+D54+D38</f>
        <v>433585</v>
      </c>
      <c r="E116" s="2002">
        <f t="shared" ref="E116:L116" si="71">E68+E54+E38</f>
        <v>316615</v>
      </c>
      <c r="F116" s="2002">
        <f t="shared" si="71"/>
        <v>91893</v>
      </c>
      <c r="G116" s="2002">
        <f t="shared" si="71"/>
        <v>25077</v>
      </c>
      <c r="H116" s="2002">
        <f t="shared" si="71"/>
        <v>0</v>
      </c>
      <c r="I116" s="2002">
        <f t="shared" si="71"/>
        <v>0</v>
      </c>
      <c r="J116" s="2002">
        <f t="shared" si="71"/>
        <v>0</v>
      </c>
      <c r="K116" s="2002">
        <f t="shared" si="71"/>
        <v>0</v>
      </c>
      <c r="L116" s="2002">
        <f t="shared" si="71"/>
        <v>0</v>
      </c>
      <c r="M116" s="2752"/>
    </row>
    <row r="117" spans="1:14" ht="12.75">
      <c r="A117" s="2752"/>
      <c r="B117" s="1925" t="s">
        <v>495</v>
      </c>
      <c r="C117" s="1996"/>
      <c r="D117" s="1996">
        <v>0</v>
      </c>
      <c r="E117" s="1996">
        <v>0</v>
      </c>
      <c r="F117" s="1996">
        <v>0</v>
      </c>
      <c r="G117" s="1996">
        <v>0</v>
      </c>
      <c r="H117" s="1996">
        <v>0</v>
      </c>
      <c r="I117" s="1996">
        <v>0</v>
      </c>
      <c r="J117" s="1996">
        <v>0</v>
      </c>
      <c r="K117" s="1996">
        <v>0</v>
      </c>
      <c r="L117" s="1996">
        <v>0</v>
      </c>
      <c r="M117" s="2752"/>
    </row>
    <row r="118" spans="1:14" ht="12.75">
      <c r="A118" s="2752"/>
      <c r="B118" s="1925" t="s">
        <v>496</v>
      </c>
      <c r="C118" s="1996"/>
      <c r="D118" s="2003">
        <f>D116+D117</f>
        <v>433585</v>
      </c>
      <c r="E118" s="2003">
        <f t="shared" ref="E118:L118" si="72">E116+E117</f>
        <v>316615</v>
      </c>
      <c r="F118" s="2003">
        <f t="shared" si="72"/>
        <v>91893</v>
      </c>
      <c r="G118" s="2003">
        <f t="shared" si="72"/>
        <v>25077</v>
      </c>
      <c r="H118" s="2003">
        <f t="shared" si="72"/>
        <v>0</v>
      </c>
      <c r="I118" s="2003">
        <f t="shared" si="72"/>
        <v>0</v>
      </c>
      <c r="J118" s="2003">
        <f t="shared" si="72"/>
        <v>0</v>
      </c>
      <c r="K118" s="2003">
        <f t="shared" si="72"/>
        <v>0</v>
      </c>
      <c r="L118" s="2003">
        <f t="shared" si="72"/>
        <v>0</v>
      </c>
      <c r="M118" s="2752"/>
    </row>
    <row r="119" spans="1:14" ht="12.75">
      <c r="B119" s="1999" t="s">
        <v>42</v>
      </c>
      <c r="C119" s="2001"/>
      <c r="D119" s="2004">
        <f>D18-D118</f>
        <v>0</v>
      </c>
      <c r="E119" s="2004">
        <f t="shared" ref="E119:L119" si="73">E18-E118</f>
        <v>0</v>
      </c>
      <c r="F119" s="2004">
        <f t="shared" si="73"/>
        <v>0</v>
      </c>
      <c r="G119" s="2004">
        <f t="shared" si="73"/>
        <v>0</v>
      </c>
      <c r="H119" s="2004">
        <f t="shared" si="73"/>
        <v>0</v>
      </c>
      <c r="I119" s="2004">
        <f t="shared" si="73"/>
        <v>0</v>
      </c>
      <c r="J119" s="2004">
        <f t="shared" si="73"/>
        <v>0</v>
      </c>
      <c r="K119" s="2004">
        <f t="shared" si="73"/>
        <v>0</v>
      </c>
      <c r="L119" s="2004">
        <f t="shared" si="73"/>
        <v>0</v>
      </c>
    </row>
    <row r="183" spans="1:14" ht="12.75">
      <c r="A183" s="2752"/>
      <c r="B183" s="2752" t="s">
        <v>69</v>
      </c>
      <c r="C183" s="2752"/>
      <c r="D183" s="2752"/>
      <c r="E183" s="2752"/>
      <c r="F183" s="2752"/>
      <c r="G183" s="2752"/>
      <c r="H183" s="2752"/>
      <c r="I183" s="2752"/>
      <c r="J183" s="2752"/>
      <c r="K183" s="2752"/>
      <c r="L183" s="2752"/>
      <c r="M183" s="2752"/>
      <c r="N183" s="2752"/>
    </row>
    <row r="184" spans="1:14" ht="12.75">
      <c r="A184" s="2752"/>
      <c r="N184" s="2752"/>
    </row>
    <row r="185" spans="1:14" ht="12.75">
      <c r="A185" s="2752"/>
      <c r="N185" s="2752"/>
    </row>
    <row r="186" spans="1:14" ht="12.75">
      <c r="A186" s="2752"/>
      <c r="N186" s="2752"/>
    </row>
    <row r="187" spans="1:14" ht="12.75">
      <c r="A187" s="2752"/>
      <c r="N187" s="2752"/>
    </row>
    <row r="188" spans="1:14" ht="12.75">
      <c r="A188" s="2752"/>
      <c r="N188" s="2752"/>
    </row>
    <row r="189" spans="1:14" ht="12.75">
      <c r="A189" s="2752"/>
      <c r="N189" s="2752"/>
    </row>
    <row r="190" spans="1:14" ht="12.75">
      <c r="A190" s="2752"/>
      <c r="N190" s="2752"/>
    </row>
    <row r="191" spans="1:14" ht="12.75">
      <c r="A191" s="2752"/>
      <c r="N191" s="2752"/>
    </row>
    <row r="192" spans="1:14" ht="12.75">
      <c r="A192" s="2752"/>
      <c r="N192" s="2752"/>
    </row>
    <row r="193" spans="1:14" ht="12.75">
      <c r="A193" s="2752"/>
      <c r="N193" s="2752"/>
    </row>
    <row r="194" spans="1:14" ht="12.75">
      <c r="A194" s="2752"/>
      <c r="B194" s="2752"/>
      <c r="C194" s="2752"/>
      <c r="D194" s="2752"/>
      <c r="E194" s="2752"/>
      <c r="F194" s="2752"/>
      <c r="G194" s="2752"/>
      <c r="H194" s="2752"/>
      <c r="I194" s="2752"/>
      <c r="J194" s="2752"/>
      <c r="K194" s="2752"/>
      <c r="L194" s="2752"/>
      <c r="M194" s="2752"/>
      <c r="N194" s="2752"/>
    </row>
  </sheetData>
  <mergeCells count="57">
    <mergeCell ref="M18:M20"/>
    <mergeCell ref="M27:M31"/>
    <mergeCell ref="N21:N31"/>
    <mergeCell ref="M38:M42"/>
    <mergeCell ref="N43:N49"/>
    <mergeCell ref="M47:M49"/>
    <mergeCell ref="N64:N70"/>
    <mergeCell ref="C66:C67"/>
    <mergeCell ref="M68:M70"/>
    <mergeCell ref="C69:C70"/>
    <mergeCell ref="N32:N42"/>
    <mergeCell ref="N57:N63"/>
    <mergeCell ref="A5:N5"/>
    <mergeCell ref="B6:B8"/>
    <mergeCell ref="C6:C8"/>
    <mergeCell ref="D6:D8"/>
    <mergeCell ref="N6:N8"/>
    <mergeCell ref="M6:M8"/>
    <mergeCell ref="E6:E7"/>
    <mergeCell ref="F6:L7"/>
    <mergeCell ref="C105:C109"/>
    <mergeCell ref="A72:L72"/>
    <mergeCell ref="M105:M109"/>
    <mergeCell ref="M54:M56"/>
    <mergeCell ref="C62:C63"/>
    <mergeCell ref="M61:M63"/>
    <mergeCell ref="C99:C103"/>
    <mergeCell ref="A57:A63"/>
    <mergeCell ref="A89:A92"/>
    <mergeCell ref="M84:M88"/>
    <mergeCell ref="A64:A70"/>
    <mergeCell ref="C59:C60"/>
    <mergeCell ref="A43:A49"/>
    <mergeCell ref="A32:A42"/>
    <mergeCell ref="C34:C37"/>
    <mergeCell ref="A21:A31"/>
    <mergeCell ref="C28:C31"/>
    <mergeCell ref="C23:C26"/>
    <mergeCell ref="C39:C42"/>
    <mergeCell ref="C45:C46"/>
    <mergeCell ref="C48:C49"/>
    <mergeCell ref="A110:A113"/>
    <mergeCell ref="N110:N113"/>
    <mergeCell ref="C112:C113"/>
    <mergeCell ref="A50:A56"/>
    <mergeCell ref="N50:N56"/>
    <mergeCell ref="C52:C53"/>
    <mergeCell ref="C55:C56"/>
    <mergeCell ref="A93:A96"/>
    <mergeCell ref="N93:N96"/>
    <mergeCell ref="C95:C96"/>
    <mergeCell ref="A97:A109"/>
    <mergeCell ref="N97:N109"/>
    <mergeCell ref="N89:N92"/>
    <mergeCell ref="C91:C92"/>
    <mergeCell ref="N73:N75"/>
    <mergeCell ref="N76:N80"/>
  </mergeCells>
  <printOptions horizontalCentered="1"/>
  <pageMargins left="0.15748031496062992" right="0.15748031496062992" top="0.55118110236220474" bottom="0.31496062992125984" header="0.15748031496062992" footer="0.15748031496062992"/>
  <pageSetup paperSize="9" scale="68" firstPageNumber="36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70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571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2.75"/>
  <cols>
    <col min="1" max="1" width="4.7109375" style="362" customWidth="1"/>
    <col min="2" max="2" width="53.5703125" style="363" customWidth="1"/>
    <col min="3" max="3" width="10" style="363" customWidth="1"/>
    <col min="4" max="4" width="14.28515625" style="363" customWidth="1"/>
    <col min="5" max="5" width="13.7109375" style="363" customWidth="1"/>
    <col min="6" max="6" width="10.28515625" style="363" customWidth="1"/>
    <col min="7" max="7" width="9.85546875" style="363" customWidth="1"/>
    <col min="8" max="8" width="11.28515625" style="363" customWidth="1"/>
    <col min="9" max="9" width="11" style="363" customWidth="1"/>
    <col min="10" max="10" width="9.85546875" style="363" customWidth="1"/>
    <col min="11" max="12" width="10.42578125" style="363" bestFit="1" customWidth="1"/>
    <col min="13" max="13" width="12.5703125" style="363" customWidth="1"/>
    <col min="14" max="14" width="13.5703125" style="448" customWidth="1"/>
    <col min="15" max="15" width="15.140625" style="363" hidden="1" customWidth="1"/>
    <col min="16" max="16" width="16.42578125" style="363" hidden="1" customWidth="1"/>
    <col min="17" max="17" width="9.5703125" style="363" hidden="1" customWidth="1"/>
    <col min="18" max="20" width="0" style="363" hidden="1" customWidth="1"/>
    <col min="21" max="16384" width="9.140625" style="363"/>
  </cols>
  <sheetData>
    <row r="1" spans="1:76" ht="3.75" customHeight="1">
      <c r="M1" s="6"/>
      <c r="N1" s="7"/>
    </row>
    <row r="2" spans="1:76" ht="15" customHeight="1">
      <c r="B2" s="365"/>
      <c r="E2" s="366"/>
      <c r="F2" s="366"/>
      <c r="I2" s="368" t="s">
        <v>153</v>
      </c>
      <c r="J2" s="368"/>
      <c r="K2" s="368"/>
      <c r="L2" s="368"/>
      <c r="M2" s="6"/>
      <c r="N2" s="7"/>
    </row>
    <row r="3" spans="1:76" ht="0.75" customHeight="1">
      <c r="G3" s="369"/>
      <c r="H3" s="369"/>
      <c r="I3" s="369"/>
      <c r="J3" s="369"/>
      <c r="K3" s="369"/>
      <c r="L3" s="369"/>
      <c r="M3" s="6"/>
      <c r="N3" s="7"/>
    </row>
    <row r="4" spans="1:76" ht="21.75" customHeight="1">
      <c r="E4" s="366"/>
      <c r="F4" s="366"/>
      <c r="G4" s="369"/>
      <c r="H4" s="369"/>
      <c r="I4" s="369"/>
      <c r="J4" s="369"/>
      <c r="K4" s="369"/>
      <c r="L4" s="369"/>
      <c r="M4" s="6"/>
      <c r="N4" s="7"/>
    </row>
    <row r="5" spans="1:76" s="370" customFormat="1" ht="51.75" customHeight="1" thickBot="1">
      <c r="A5" s="3454" t="s">
        <v>154</v>
      </c>
      <c r="B5" s="3454"/>
      <c r="C5" s="3454"/>
      <c r="D5" s="3454"/>
      <c r="E5" s="3454"/>
      <c r="F5" s="3454"/>
      <c r="G5" s="3454"/>
      <c r="H5" s="3454"/>
      <c r="I5" s="3454"/>
      <c r="J5" s="3454"/>
      <c r="K5" s="3454"/>
      <c r="L5" s="3454"/>
      <c r="M5" s="3454"/>
      <c r="N5" s="3454"/>
    </row>
    <row r="6" spans="1:76" s="372" customFormat="1" ht="67.5" customHeight="1" thickBot="1">
      <c r="A6" s="165"/>
      <c r="B6" s="3508" t="s">
        <v>75</v>
      </c>
      <c r="C6" s="3216" t="s">
        <v>71</v>
      </c>
      <c r="D6" s="3420" t="s">
        <v>120</v>
      </c>
      <c r="E6" s="2724" t="s">
        <v>296</v>
      </c>
      <c r="F6" s="3510" t="s">
        <v>415</v>
      </c>
      <c r="G6" s="3230"/>
      <c r="H6" s="3230"/>
      <c r="I6" s="3230"/>
      <c r="J6" s="3230"/>
      <c r="K6" s="3230"/>
      <c r="L6" s="3231"/>
      <c r="M6" s="3225" t="s">
        <v>410</v>
      </c>
      <c r="N6" s="3410" t="s">
        <v>73</v>
      </c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371"/>
      <c r="BR6" s="371"/>
      <c r="BS6" s="371"/>
      <c r="BT6" s="371"/>
      <c r="BU6" s="371"/>
      <c r="BV6" s="371"/>
      <c r="BW6" s="371"/>
      <c r="BX6" s="371"/>
    </row>
    <row r="7" spans="1:76" s="372" customFormat="1" ht="18" customHeight="1" thickBot="1">
      <c r="A7" s="166"/>
      <c r="B7" s="3508"/>
      <c r="C7" s="3217"/>
      <c r="D7" s="3422"/>
      <c r="E7" s="1334" t="s">
        <v>556</v>
      </c>
      <c r="F7" s="3020" t="s">
        <v>5</v>
      </c>
      <c r="G7" s="3020" t="s">
        <v>6</v>
      </c>
      <c r="H7" s="373" t="s">
        <v>229</v>
      </c>
      <c r="I7" s="373" t="s">
        <v>230</v>
      </c>
      <c r="J7" s="373" t="s">
        <v>288</v>
      </c>
      <c r="K7" s="373" t="s">
        <v>289</v>
      </c>
      <c r="L7" s="373" t="s">
        <v>290</v>
      </c>
      <c r="M7" s="3509"/>
      <c r="N7" s="3412"/>
      <c r="O7" s="199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  <c r="BN7" s="371"/>
      <c r="BO7" s="371"/>
      <c r="BP7" s="371"/>
      <c r="BQ7" s="371"/>
      <c r="BR7" s="371"/>
      <c r="BS7" s="371"/>
      <c r="BT7" s="371"/>
      <c r="BU7" s="371"/>
      <c r="BV7" s="371"/>
      <c r="BW7" s="371"/>
      <c r="BX7" s="371"/>
    </row>
    <row r="8" spans="1:76" s="372" customFormat="1" ht="12.75" customHeight="1">
      <c r="A8" s="1465">
        <v>1</v>
      </c>
      <c r="B8" s="1466">
        <v>2</v>
      </c>
      <c r="C8" s="1467" t="s">
        <v>121</v>
      </c>
      <c r="D8" s="1467" t="s">
        <v>122</v>
      </c>
      <c r="E8" s="1467">
        <v>5</v>
      </c>
      <c r="F8" s="1467">
        <v>6</v>
      </c>
      <c r="G8" s="1467">
        <v>7</v>
      </c>
      <c r="H8" s="1467">
        <v>8</v>
      </c>
      <c r="I8" s="1467">
        <v>9</v>
      </c>
      <c r="J8" s="1467">
        <v>10</v>
      </c>
      <c r="K8" s="1467">
        <v>11</v>
      </c>
      <c r="L8" s="1467">
        <v>12</v>
      </c>
      <c r="M8" s="1468">
        <v>13</v>
      </c>
      <c r="N8" s="1469">
        <v>14</v>
      </c>
      <c r="O8" s="372" t="s">
        <v>280</v>
      </c>
    </row>
    <row r="9" spans="1:76" s="3010" customFormat="1" ht="16.5" customHeight="1">
      <c r="A9" s="215"/>
      <c r="B9" s="515" t="s">
        <v>76</v>
      </c>
      <c r="C9" s="477"/>
      <c r="D9" s="478">
        <f>+D10+D11</f>
        <v>336435005</v>
      </c>
      <c r="E9" s="478">
        <f t="shared" ref="E9" si="0">+E10+E11</f>
        <v>27734869</v>
      </c>
      <c r="F9" s="478">
        <f t="shared" ref="F9:M9" si="1">+F10+F11</f>
        <v>40920187</v>
      </c>
      <c r="G9" s="478">
        <f t="shared" si="1"/>
        <v>51851864</v>
      </c>
      <c r="H9" s="251">
        <f t="shared" si="1"/>
        <v>78863255</v>
      </c>
      <c r="I9" s="251">
        <f t="shared" si="1"/>
        <v>58177562</v>
      </c>
      <c r="J9" s="251">
        <f t="shared" si="1"/>
        <v>27429729</v>
      </c>
      <c r="K9" s="251">
        <f t="shared" si="1"/>
        <v>26004604</v>
      </c>
      <c r="L9" s="251">
        <f t="shared" si="1"/>
        <v>25452935</v>
      </c>
      <c r="M9" s="168">
        <f t="shared" si="1"/>
        <v>308700136</v>
      </c>
      <c r="N9" s="17"/>
      <c r="O9" s="374">
        <f>M9-M12</f>
        <v>0</v>
      </c>
      <c r="P9" s="374"/>
    </row>
    <row r="10" spans="1:76" s="3010" customFormat="1" ht="15" customHeight="1">
      <c r="A10" s="215"/>
      <c r="B10" s="241" t="s">
        <v>77</v>
      </c>
      <c r="C10" s="242"/>
      <c r="D10" s="243">
        <f>+D27+D94+D72+D114-D122+D176+D206+D233-D237+D39</f>
        <v>236159202</v>
      </c>
      <c r="E10" s="243">
        <f>+E27+E94+E72+E114-E122+E176+E206+E233-E237+E39</f>
        <v>26973186</v>
      </c>
      <c r="F10" s="243">
        <f>+F27+F94+F72+F114-F122+F176+F206+F233-F237+F39</f>
        <v>37166952</v>
      </c>
      <c r="G10" s="243">
        <f t="shared" ref="G10:L10" si="2">+G27+G94+G72+G114-G122+G176+G206+G233-G237+G39</f>
        <v>35145433</v>
      </c>
      <c r="H10" s="243">
        <f t="shared" si="2"/>
        <v>29790056</v>
      </c>
      <c r="I10" s="243">
        <f t="shared" si="2"/>
        <v>28680807</v>
      </c>
      <c r="J10" s="243">
        <f t="shared" si="2"/>
        <v>27268229</v>
      </c>
      <c r="K10" s="243">
        <f t="shared" si="2"/>
        <v>25843104</v>
      </c>
      <c r="L10" s="243">
        <f t="shared" si="2"/>
        <v>25291435</v>
      </c>
      <c r="M10" s="744">
        <f>+M27+M94+M72+M114-M122+M176+M206+M233+M39</f>
        <v>209186016</v>
      </c>
      <c r="N10" s="17"/>
      <c r="O10" s="374"/>
      <c r="P10" s="374"/>
    </row>
    <row r="11" spans="1:76" s="3010" customFormat="1" ht="14.25" customHeight="1" thickBot="1">
      <c r="A11" s="215"/>
      <c r="B11" s="244" t="s">
        <v>9</v>
      </c>
      <c r="C11" s="245"/>
      <c r="D11" s="246">
        <f>+D105+D60+D83+D139-D141+D190+D217+D246</f>
        <v>100275803</v>
      </c>
      <c r="E11" s="246">
        <f>+E105+E60+E83+E139-E141+E190+E217+E246</f>
        <v>761683</v>
      </c>
      <c r="F11" s="246">
        <f>+F105+F60+F83+F139-F141+F190+F217+F246</f>
        <v>3753235</v>
      </c>
      <c r="G11" s="246">
        <f t="shared" ref="G11:L11" si="3">+G105+G60+G83+G139-G141+G190+G217+G246</f>
        <v>16706431</v>
      </c>
      <c r="H11" s="246">
        <f t="shared" si="3"/>
        <v>49073199</v>
      </c>
      <c r="I11" s="246">
        <f t="shared" si="3"/>
        <v>29496755</v>
      </c>
      <c r="J11" s="246">
        <f t="shared" si="3"/>
        <v>161500</v>
      </c>
      <c r="K11" s="246">
        <f t="shared" si="3"/>
        <v>161500</v>
      </c>
      <c r="L11" s="246">
        <f t="shared" si="3"/>
        <v>161500</v>
      </c>
      <c r="M11" s="18">
        <f>+M105+M60+M83+M139-M141+M190+M217+M246</f>
        <v>99514120</v>
      </c>
      <c r="N11" s="17"/>
    </row>
    <row r="12" spans="1:76" s="377" customFormat="1" ht="13.5" customHeight="1">
      <c r="A12" s="171"/>
      <c r="B12" s="172" t="s">
        <v>10</v>
      </c>
      <c r="C12" s="173"/>
      <c r="D12" s="174">
        <f>+D13+D18</f>
        <v>338041435</v>
      </c>
      <c r="E12" s="174">
        <f t="shared" ref="E12" si="4">+E13+E18</f>
        <v>28125985</v>
      </c>
      <c r="F12" s="174">
        <f t="shared" ref="F12:L12" si="5">+F13+F18</f>
        <v>41566591</v>
      </c>
      <c r="G12" s="174">
        <f t="shared" si="5"/>
        <v>52096272</v>
      </c>
      <c r="H12" s="174">
        <f t="shared" si="5"/>
        <v>78931683</v>
      </c>
      <c r="I12" s="174">
        <f t="shared" si="5"/>
        <v>58241581</v>
      </c>
      <c r="J12" s="174">
        <f t="shared" si="5"/>
        <v>27493748</v>
      </c>
      <c r="K12" s="174">
        <f t="shared" si="5"/>
        <v>26068622</v>
      </c>
      <c r="L12" s="174">
        <f t="shared" si="5"/>
        <v>25516953</v>
      </c>
      <c r="M12" s="216">
        <f>+M13+M18</f>
        <v>308700136</v>
      </c>
      <c r="N12" s="169"/>
      <c r="O12" s="375"/>
      <c r="P12" s="376"/>
    </row>
    <row r="13" spans="1:76" s="382" customFormat="1" ht="13.5" customHeight="1">
      <c r="A13" s="167"/>
      <c r="B13" s="175" t="s">
        <v>11</v>
      </c>
      <c r="C13" s="176"/>
      <c r="D13" s="378">
        <f>+D14+D15+D16+D17</f>
        <v>67765696</v>
      </c>
      <c r="E13" s="378">
        <f t="shared" ref="E13" si="6">+E14+E15+E16+E17</f>
        <v>4922493</v>
      </c>
      <c r="F13" s="378">
        <f t="shared" ref="F13:L13" si="7">+F14+F15+F16+F17</f>
        <v>6787204</v>
      </c>
      <c r="G13" s="378">
        <f t="shared" si="7"/>
        <v>10403291</v>
      </c>
      <c r="H13" s="378">
        <f t="shared" si="7"/>
        <v>18478504</v>
      </c>
      <c r="I13" s="378">
        <f t="shared" si="7"/>
        <v>16108702</v>
      </c>
      <c r="J13" s="378">
        <f t="shared" si="7"/>
        <v>4898800</v>
      </c>
      <c r="K13" s="378">
        <f t="shared" si="7"/>
        <v>3052728</v>
      </c>
      <c r="L13" s="378">
        <f t="shared" si="7"/>
        <v>3113974</v>
      </c>
      <c r="M13" s="379">
        <f>+M14+M15+M16+M17</f>
        <v>61627889</v>
      </c>
      <c r="N13" s="380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</row>
    <row r="14" spans="1:76" s="385" customFormat="1" ht="12" customHeight="1">
      <c r="A14" s="177"/>
      <c r="B14" s="178" t="s">
        <v>12</v>
      </c>
      <c r="C14" s="179"/>
      <c r="D14" s="383">
        <f>+D107+D116+D160+D235+D29+D41+D62</f>
        <v>63814873</v>
      </c>
      <c r="E14" s="383">
        <f>+E107+E116+E160+E235+E29+E41+E62</f>
        <v>4110599</v>
      </c>
      <c r="F14" s="383">
        <f>+F107+F116+F160+F235+F29+F41+F62</f>
        <v>5171777</v>
      </c>
      <c r="G14" s="383">
        <f t="shared" ref="G14:L14" si="8">+G107+G116+G160+G235+G29+G41+G62</f>
        <v>9692547</v>
      </c>
      <c r="H14" s="383">
        <f t="shared" si="8"/>
        <v>18158448</v>
      </c>
      <c r="I14" s="383">
        <f t="shared" si="8"/>
        <v>15808055</v>
      </c>
      <c r="J14" s="383">
        <f>+J107+J116+J160+J235+J29+J41+J62</f>
        <v>4834781</v>
      </c>
      <c r="K14" s="383">
        <f t="shared" si="8"/>
        <v>2988710</v>
      </c>
      <c r="L14" s="383">
        <f t="shared" si="8"/>
        <v>3049956</v>
      </c>
      <c r="M14" s="384">
        <f>SUM(F14:L14)</f>
        <v>59704274</v>
      </c>
      <c r="N14" s="169"/>
      <c r="O14" s="375"/>
      <c r="P14" s="385" t="s">
        <v>318</v>
      </c>
    </row>
    <row r="15" spans="1:76" s="385" customFormat="1" ht="11.25" customHeight="1">
      <c r="A15" s="177"/>
      <c r="B15" s="386" t="s">
        <v>13</v>
      </c>
      <c r="C15" s="387"/>
      <c r="D15" s="383">
        <f>+D96+D63+D74+D85+D236+D248+D45</f>
        <v>2344393</v>
      </c>
      <c r="E15" s="383">
        <f>+E96+E63+E74+E85+E236+E248+E45</f>
        <v>420778</v>
      </c>
      <c r="F15" s="383">
        <f>+F96+F63+F74+F85+F236+F248+F45</f>
        <v>969023</v>
      </c>
      <c r="G15" s="383">
        <f t="shared" ref="G15:L15" si="9">+G96+G63+G74+G85+G236+G248+G45</f>
        <v>466336</v>
      </c>
      <c r="H15" s="383">
        <f t="shared" si="9"/>
        <v>251628</v>
      </c>
      <c r="I15" s="383">
        <f t="shared" si="9"/>
        <v>236628</v>
      </c>
      <c r="J15" s="383">
        <f t="shared" si="9"/>
        <v>0</v>
      </c>
      <c r="K15" s="383">
        <f t="shared" si="9"/>
        <v>0</v>
      </c>
      <c r="L15" s="383">
        <f t="shared" si="9"/>
        <v>0</v>
      </c>
      <c r="M15" s="384">
        <f>SUM(F15:L15)</f>
        <v>1923615</v>
      </c>
      <c r="N15" s="169"/>
      <c r="O15" s="375">
        <f>G14+G15+G16+G19-G9</f>
        <v>0</v>
      </c>
    </row>
    <row r="16" spans="1:76" s="385" customFormat="1" ht="11.25" hidden="1" customHeight="1">
      <c r="A16" s="177"/>
      <c r="B16" s="386" t="s">
        <v>16</v>
      </c>
      <c r="C16" s="387"/>
      <c r="D16" s="388">
        <f>+D161</f>
        <v>0</v>
      </c>
      <c r="E16" s="388">
        <f t="shared" ref="E16" si="10">+E161</f>
        <v>0</v>
      </c>
      <c r="F16" s="388">
        <f t="shared" ref="F16:L16" si="11">+F161</f>
        <v>0</v>
      </c>
      <c r="G16" s="388">
        <f t="shared" si="11"/>
        <v>0</v>
      </c>
      <c r="H16" s="388">
        <f t="shared" si="11"/>
        <v>0</v>
      </c>
      <c r="I16" s="388">
        <f t="shared" si="11"/>
        <v>0</v>
      </c>
      <c r="J16" s="388">
        <f t="shared" si="11"/>
        <v>0</v>
      </c>
      <c r="K16" s="388">
        <f t="shared" si="11"/>
        <v>0</v>
      </c>
      <c r="L16" s="388">
        <f t="shared" si="11"/>
        <v>0</v>
      </c>
      <c r="M16" s="384">
        <f>SUM(F16:L16)</f>
        <v>0</v>
      </c>
      <c r="N16" s="169"/>
      <c r="O16" s="375"/>
    </row>
    <row r="17" spans="1:26" s="385" customFormat="1" ht="12" customHeight="1">
      <c r="A17" s="177"/>
      <c r="B17" s="386" t="s">
        <v>32</v>
      </c>
      <c r="C17" s="387"/>
      <c r="D17" s="388">
        <f>D122+D141+D237</f>
        <v>1606430</v>
      </c>
      <c r="E17" s="388">
        <f t="shared" ref="E17" si="12">E122+E141+E237</f>
        <v>391116</v>
      </c>
      <c r="F17" s="388">
        <f t="shared" ref="F17:L17" si="13">F122+F141+F237</f>
        <v>646404</v>
      </c>
      <c r="G17" s="388">
        <f t="shared" si="13"/>
        <v>244408</v>
      </c>
      <c r="H17" s="388">
        <f t="shared" si="13"/>
        <v>68428</v>
      </c>
      <c r="I17" s="388">
        <f t="shared" si="13"/>
        <v>64019</v>
      </c>
      <c r="J17" s="388">
        <f t="shared" si="13"/>
        <v>64019</v>
      </c>
      <c r="K17" s="388">
        <f t="shared" si="13"/>
        <v>64018</v>
      </c>
      <c r="L17" s="388">
        <f t="shared" si="13"/>
        <v>64018</v>
      </c>
      <c r="M17" s="389">
        <f>M122+M141</f>
        <v>0</v>
      </c>
      <c r="N17" s="169"/>
      <c r="O17" s="375"/>
    </row>
    <row r="18" spans="1:26" s="382" customFormat="1" ht="12" customHeight="1">
      <c r="A18" s="167"/>
      <c r="B18" s="180" t="s">
        <v>18</v>
      </c>
      <c r="C18" s="181"/>
      <c r="D18" s="182">
        <f>SUM(D19)</f>
        <v>270275739</v>
      </c>
      <c r="E18" s="182">
        <f t="shared" ref="E18" si="14">SUM(E19)</f>
        <v>23203492</v>
      </c>
      <c r="F18" s="182">
        <f t="shared" ref="F18:M18" si="15">SUM(F19)</f>
        <v>34779387</v>
      </c>
      <c r="G18" s="182">
        <f t="shared" si="15"/>
        <v>41692981</v>
      </c>
      <c r="H18" s="182">
        <f t="shared" si="15"/>
        <v>60453179</v>
      </c>
      <c r="I18" s="182">
        <f t="shared" si="15"/>
        <v>42132879</v>
      </c>
      <c r="J18" s="182">
        <f t="shared" si="15"/>
        <v>22594948</v>
      </c>
      <c r="K18" s="182">
        <f t="shared" si="15"/>
        <v>23015894</v>
      </c>
      <c r="L18" s="182">
        <f t="shared" si="15"/>
        <v>22402979</v>
      </c>
      <c r="M18" s="379">
        <f t="shared" si="15"/>
        <v>247072247</v>
      </c>
      <c r="N18" s="380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</row>
    <row r="19" spans="1:26" s="394" customFormat="1" ht="12" customHeight="1">
      <c r="A19" s="183"/>
      <c r="B19" s="390" t="s">
        <v>21</v>
      </c>
      <c r="C19" s="391"/>
      <c r="D19" s="383">
        <f>+D31+D98+D109+D65+D76+D87+D126+D145+D163+D239+D250+D50</f>
        <v>270275739</v>
      </c>
      <c r="E19" s="383">
        <f t="shared" ref="E19" si="16">+E31+E98+E109+E65+E76+E87+E126+E145+E163+E239+E250+E50</f>
        <v>23203492</v>
      </c>
      <c r="F19" s="383">
        <f t="shared" ref="F19:L19" si="17">+F31+F98+F109+F65+F76+F87+F126+F145+F163+F239+F250+F50</f>
        <v>34779387</v>
      </c>
      <c r="G19" s="383">
        <f t="shared" si="17"/>
        <v>41692981</v>
      </c>
      <c r="H19" s="383">
        <f t="shared" si="17"/>
        <v>60453179</v>
      </c>
      <c r="I19" s="383">
        <f t="shared" si="17"/>
        <v>42132879</v>
      </c>
      <c r="J19" s="383">
        <f t="shared" si="17"/>
        <v>22594948</v>
      </c>
      <c r="K19" s="383">
        <f t="shared" si="17"/>
        <v>23015894</v>
      </c>
      <c r="L19" s="383">
        <f t="shared" si="17"/>
        <v>22402979</v>
      </c>
      <c r="M19" s="384">
        <f>SUM(F19:L19)</f>
        <v>247072247</v>
      </c>
      <c r="N19" s="392"/>
      <c r="O19" s="375">
        <f>D14+D15+D16+D19-D9</f>
        <v>0</v>
      </c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</row>
    <row r="20" spans="1:26" s="394" customFormat="1" ht="12.75" customHeight="1">
      <c r="A20" s="183"/>
      <c r="B20" s="89" t="s">
        <v>22</v>
      </c>
      <c r="C20" s="482"/>
      <c r="D20" s="483">
        <f>+D21+D24</f>
        <v>272620131.70000005</v>
      </c>
      <c r="E20" s="483">
        <f t="shared" ref="E20" si="18">+E21+E24</f>
        <v>17797453</v>
      </c>
      <c r="F20" s="483">
        <f t="shared" ref="F20:L20" si="19">+F21+F24</f>
        <v>38820959.700000003</v>
      </c>
      <c r="G20" s="483">
        <f t="shared" si="19"/>
        <v>42469443</v>
      </c>
      <c r="H20" s="483">
        <f t="shared" si="19"/>
        <v>60712260</v>
      </c>
      <c r="I20" s="483">
        <f t="shared" si="19"/>
        <v>42369507</v>
      </c>
      <c r="J20" s="483">
        <f t="shared" si="19"/>
        <v>22721431</v>
      </c>
      <c r="K20" s="483">
        <f t="shared" si="19"/>
        <v>22935629</v>
      </c>
      <c r="L20" s="483">
        <f t="shared" si="19"/>
        <v>22764014</v>
      </c>
      <c r="M20" s="3511" t="s">
        <v>61</v>
      </c>
      <c r="N20" s="169"/>
      <c r="O20" s="398">
        <f>D77+D88+D99+D110+D135+D154+D167+D240+D54+D35+D66+D251</f>
        <v>272620131.69999999</v>
      </c>
      <c r="P20" s="393"/>
      <c r="Q20" s="393"/>
      <c r="R20" s="393"/>
      <c r="S20" s="393"/>
      <c r="T20" s="393"/>
      <c r="U20" s="393"/>
      <c r="V20" s="393"/>
      <c r="W20" s="393"/>
      <c r="X20" s="393"/>
      <c r="Y20" s="393"/>
      <c r="Z20" s="393"/>
    </row>
    <row r="21" spans="1:26" s="382" customFormat="1" ht="12" customHeight="1">
      <c r="A21" s="167"/>
      <c r="B21" s="175" t="s">
        <v>11</v>
      </c>
      <c r="C21" s="176"/>
      <c r="D21" s="378">
        <f>+D22+D23</f>
        <v>2344392.6</v>
      </c>
      <c r="E21" s="378">
        <f t="shared" ref="E21" si="20">+E22+E23</f>
        <v>413005</v>
      </c>
      <c r="F21" s="378">
        <f t="shared" ref="F21:L21" si="21">+F22+F23</f>
        <v>930051.6</v>
      </c>
      <c r="G21" s="378">
        <f t="shared" si="21"/>
        <v>499766</v>
      </c>
      <c r="H21" s="378">
        <f t="shared" si="21"/>
        <v>251628</v>
      </c>
      <c r="I21" s="378">
        <f t="shared" si="21"/>
        <v>236628</v>
      </c>
      <c r="J21" s="378">
        <f t="shared" si="21"/>
        <v>13314</v>
      </c>
      <c r="K21" s="378">
        <f t="shared" si="21"/>
        <v>0</v>
      </c>
      <c r="L21" s="378">
        <f t="shared" si="21"/>
        <v>0</v>
      </c>
      <c r="M21" s="3470"/>
      <c r="N21" s="380"/>
      <c r="O21" s="398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</row>
    <row r="22" spans="1:26" s="394" customFormat="1" ht="12" customHeight="1">
      <c r="A22" s="183"/>
      <c r="B22" s="386" t="s">
        <v>13</v>
      </c>
      <c r="C22" s="395"/>
      <c r="D22" s="383">
        <f>+D101+D68+D79+D242+D253+D90+D56</f>
        <v>2344392.6</v>
      </c>
      <c r="E22" s="383">
        <f t="shared" ref="E22" si="22">+E101+E68+E79+E242+E253+E90+E56</f>
        <v>413005</v>
      </c>
      <c r="F22" s="383">
        <f t="shared" ref="F22:L22" si="23">+F101+F68+F79+F242+F253+F90+F56</f>
        <v>930051.6</v>
      </c>
      <c r="G22" s="383">
        <f t="shared" si="23"/>
        <v>499766</v>
      </c>
      <c r="H22" s="383">
        <f t="shared" si="23"/>
        <v>251628</v>
      </c>
      <c r="I22" s="383">
        <f t="shared" si="23"/>
        <v>236628</v>
      </c>
      <c r="J22" s="383">
        <f t="shared" si="23"/>
        <v>13314</v>
      </c>
      <c r="K22" s="383">
        <f t="shared" si="23"/>
        <v>0</v>
      </c>
      <c r="L22" s="383">
        <f t="shared" si="23"/>
        <v>0</v>
      </c>
      <c r="M22" s="3470"/>
      <c r="N22" s="392"/>
      <c r="O22" s="398"/>
      <c r="P22" s="393"/>
      <c r="Q22" s="393"/>
      <c r="R22" s="393"/>
      <c r="S22" s="393"/>
      <c r="T22" s="393"/>
      <c r="U22" s="393"/>
      <c r="V22" s="393"/>
      <c r="W22" s="393"/>
      <c r="X22" s="393"/>
      <c r="Y22" s="393"/>
      <c r="Z22" s="393"/>
    </row>
    <row r="23" spans="1:26" s="394" customFormat="1" ht="12" hidden="1" customHeight="1">
      <c r="A23" s="183"/>
      <c r="B23" s="386" t="s">
        <v>16</v>
      </c>
      <c r="C23" s="395"/>
      <c r="D23" s="388">
        <f>+D169</f>
        <v>0</v>
      </c>
      <c r="E23" s="388">
        <f>+E169</f>
        <v>0</v>
      </c>
      <c r="F23" s="388">
        <f>+F169</f>
        <v>0</v>
      </c>
      <c r="G23" s="388">
        <f t="shared" ref="G23:L23" si="24">+G169</f>
        <v>0</v>
      </c>
      <c r="H23" s="388">
        <f t="shared" si="24"/>
        <v>0</v>
      </c>
      <c r="I23" s="388">
        <f t="shared" si="24"/>
        <v>0</v>
      </c>
      <c r="J23" s="388">
        <f t="shared" si="24"/>
        <v>0</v>
      </c>
      <c r="K23" s="388">
        <f t="shared" si="24"/>
        <v>0</v>
      </c>
      <c r="L23" s="388">
        <f t="shared" si="24"/>
        <v>0</v>
      </c>
      <c r="M23" s="3470"/>
      <c r="N23" s="392"/>
      <c r="O23" s="398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</row>
    <row r="24" spans="1:26" s="382" customFormat="1" ht="12" customHeight="1">
      <c r="A24" s="167"/>
      <c r="B24" s="180" t="s">
        <v>18</v>
      </c>
      <c r="C24" s="181"/>
      <c r="D24" s="182">
        <f>+D25</f>
        <v>270275739.10000002</v>
      </c>
      <c r="E24" s="182">
        <f t="shared" ref="E24" si="25">+E25</f>
        <v>17384448</v>
      </c>
      <c r="F24" s="182">
        <f t="shared" ref="F24:L24" si="26">+F25</f>
        <v>37890908.100000001</v>
      </c>
      <c r="G24" s="182">
        <f t="shared" si="26"/>
        <v>41969677</v>
      </c>
      <c r="H24" s="182">
        <f t="shared" si="26"/>
        <v>60460632</v>
      </c>
      <c r="I24" s="182">
        <f t="shared" si="26"/>
        <v>42132879</v>
      </c>
      <c r="J24" s="182">
        <f t="shared" si="26"/>
        <v>22708117</v>
      </c>
      <c r="K24" s="182">
        <f t="shared" si="26"/>
        <v>22935629</v>
      </c>
      <c r="L24" s="182">
        <f t="shared" si="26"/>
        <v>22764014</v>
      </c>
      <c r="M24" s="3470"/>
      <c r="N24" s="380"/>
      <c r="O24" s="398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</row>
    <row r="25" spans="1:26" s="394" customFormat="1" ht="12" customHeight="1" thickBot="1">
      <c r="A25" s="184"/>
      <c r="B25" s="396" t="s">
        <v>21</v>
      </c>
      <c r="C25" s="185"/>
      <c r="D25" s="186">
        <f>+D37+D103+D112+D70+D81+D92+D137+D156+D171+D244+D255+D58</f>
        <v>270275739.10000002</v>
      </c>
      <c r="E25" s="186">
        <f t="shared" ref="E25" si="27">+E37+E103+E112+E70+E81+E92+E137+E156+E171+E244+E255+E58</f>
        <v>17384448</v>
      </c>
      <c r="F25" s="186">
        <f t="shared" ref="F25:K25" si="28">+F37+F103+F112+F70+F81+F92+F137+F156+F171+F244+F255+F58</f>
        <v>37890908.100000001</v>
      </c>
      <c r="G25" s="186">
        <f t="shared" si="28"/>
        <v>41969677</v>
      </c>
      <c r="H25" s="186">
        <f t="shared" si="28"/>
        <v>60460632</v>
      </c>
      <c r="I25" s="186">
        <f t="shared" si="28"/>
        <v>42132879</v>
      </c>
      <c r="J25" s="186">
        <f t="shared" si="28"/>
        <v>22708117</v>
      </c>
      <c r="K25" s="186">
        <f t="shared" si="28"/>
        <v>22935629</v>
      </c>
      <c r="L25" s="186">
        <f>+L37+L103+L112+L70+L81+L92+L137+L156+L171+L244+L255+L58</f>
        <v>22764014</v>
      </c>
      <c r="M25" s="3471"/>
      <c r="N25" s="397"/>
      <c r="O25" s="398">
        <f>D19-D25</f>
        <v>-0.10000002384185791</v>
      </c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</row>
    <row r="26" spans="1:26" s="393" customFormat="1" ht="29.25" customHeight="1">
      <c r="A26" s="3439" t="s">
        <v>63</v>
      </c>
      <c r="B26" s="187" t="s">
        <v>502</v>
      </c>
      <c r="C26" s="188" t="s">
        <v>111</v>
      </c>
      <c r="D26" s="206"/>
      <c r="E26" s="205"/>
      <c r="F26" s="205"/>
      <c r="G26" s="205"/>
      <c r="H26" s="205"/>
      <c r="I26" s="205"/>
      <c r="J26" s="205"/>
      <c r="K26" s="205"/>
      <c r="L26" s="292"/>
      <c r="M26" s="399"/>
      <c r="N26" s="3503" t="s">
        <v>397</v>
      </c>
      <c r="O26" s="398"/>
    </row>
    <row r="27" spans="1:26" s="393" customFormat="1" ht="14.25" customHeight="1">
      <c r="A27" s="3440"/>
      <c r="B27" s="21" t="s">
        <v>10</v>
      </c>
      <c r="C27" s="196"/>
      <c r="D27" s="400">
        <f>+D28+D30</f>
        <v>1966760</v>
      </c>
      <c r="E27" s="400">
        <f t="shared" ref="E27" si="29">+E28+E30</f>
        <v>192432</v>
      </c>
      <c r="F27" s="400">
        <f t="shared" ref="F27:K27" si="30">+F28+F30</f>
        <v>281070</v>
      </c>
      <c r="G27" s="400">
        <f t="shared" si="30"/>
        <v>288713</v>
      </c>
      <c r="H27" s="400">
        <f t="shared" si="30"/>
        <v>281170</v>
      </c>
      <c r="I27" s="400">
        <f t="shared" si="30"/>
        <v>281170</v>
      </c>
      <c r="J27" s="400">
        <f t="shared" si="30"/>
        <v>280970</v>
      </c>
      <c r="K27" s="400">
        <f t="shared" si="30"/>
        <v>361235</v>
      </c>
      <c r="L27" s="400"/>
      <c r="M27" s="401">
        <f>M28+M30</f>
        <v>1774328</v>
      </c>
      <c r="N27" s="3504"/>
      <c r="O27" s="374"/>
    </row>
    <row r="28" spans="1:26" s="405" customFormat="1" ht="12" customHeight="1">
      <c r="A28" s="3440"/>
      <c r="B28" s="783" t="s">
        <v>24</v>
      </c>
      <c r="C28" s="3450" t="s">
        <v>155</v>
      </c>
      <c r="D28" s="402">
        <f>+D29</f>
        <v>2000</v>
      </c>
      <c r="E28" s="402">
        <f t="shared" ref="E28" si="31">+E29</f>
        <v>10</v>
      </c>
      <c r="F28" s="402">
        <f t="shared" ref="F28:K28" si="32">+F29</f>
        <v>300</v>
      </c>
      <c r="G28" s="402">
        <f t="shared" si="32"/>
        <v>490</v>
      </c>
      <c r="H28" s="402">
        <f t="shared" si="32"/>
        <v>400</v>
      </c>
      <c r="I28" s="402">
        <f t="shared" si="32"/>
        <v>400</v>
      </c>
      <c r="J28" s="402">
        <f t="shared" si="32"/>
        <v>200</v>
      </c>
      <c r="K28" s="402">
        <f t="shared" si="32"/>
        <v>200</v>
      </c>
      <c r="L28" s="402"/>
      <c r="M28" s="403">
        <f>+M29</f>
        <v>1990</v>
      </c>
      <c r="N28" s="3504"/>
      <c r="O28" s="404"/>
    </row>
    <row r="29" spans="1:26" s="405" customFormat="1" ht="11.25" customHeight="1">
      <c r="A29" s="3440"/>
      <c r="B29" s="190" t="s">
        <v>12</v>
      </c>
      <c r="C29" s="3506"/>
      <c r="D29" s="280">
        <f>E29+F29+G29+H29+I29+J29+K29+L29</f>
        <v>2000</v>
      </c>
      <c r="E29" s="2071">
        <v>10</v>
      </c>
      <c r="F29" s="2071">
        <v>300</v>
      </c>
      <c r="G29" s="2071">
        <f>400+90</f>
        <v>490</v>
      </c>
      <c r="H29" s="2071">
        <v>400</v>
      </c>
      <c r="I29" s="2071">
        <v>400</v>
      </c>
      <c r="J29" s="2071">
        <v>200</v>
      </c>
      <c r="K29" s="2071">
        <v>200</v>
      </c>
      <c r="L29" s="2072"/>
      <c r="M29" s="958">
        <f>SUM(F29:L29)</f>
        <v>1990</v>
      </c>
      <c r="N29" s="3504"/>
      <c r="O29" s="2171"/>
    </row>
    <row r="30" spans="1:26" s="393" customFormat="1" ht="12" customHeight="1">
      <c r="A30" s="3440"/>
      <c r="B30" s="882" t="s">
        <v>18</v>
      </c>
      <c r="C30" s="3388"/>
      <c r="D30" s="407">
        <f>+D31</f>
        <v>1964760</v>
      </c>
      <c r="E30" s="407">
        <f t="shared" ref="E30:K30" si="33">E31</f>
        <v>192422</v>
      </c>
      <c r="F30" s="407">
        <f t="shared" si="33"/>
        <v>280770</v>
      </c>
      <c r="G30" s="407">
        <f t="shared" si="33"/>
        <v>288223</v>
      </c>
      <c r="H30" s="407">
        <f t="shared" si="33"/>
        <v>280770</v>
      </c>
      <c r="I30" s="407">
        <f t="shared" si="33"/>
        <v>280770</v>
      </c>
      <c r="J30" s="407">
        <f t="shared" si="33"/>
        <v>280770</v>
      </c>
      <c r="K30" s="407">
        <f t="shared" si="33"/>
        <v>361035</v>
      </c>
      <c r="L30" s="407"/>
      <c r="M30" s="403">
        <f>+M31</f>
        <v>1772338</v>
      </c>
      <c r="N30" s="3504"/>
      <c r="O30" s="398"/>
      <c r="P30" s="398"/>
    </row>
    <row r="31" spans="1:26" s="3010" customFormat="1">
      <c r="A31" s="3440"/>
      <c r="B31" s="2074" t="s">
        <v>21</v>
      </c>
      <c r="C31" s="3377"/>
      <c r="D31" s="280">
        <f>E31+F31+G31+H31+I31+J31+K31+L31</f>
        <v>1964760</v>
      </c>
      <c r="E31" s="2071">
        <v>192422</v>
      </c>
      <c r="F31" s="280">
        <f t="shared" ref="F31:K31" si="34">SUM(F33:F34)</f>
        <v>280770</v>
      </c>
      <c r="G31" s="280">
        <f t="shared" si="34"/>
        <v>288223</v>
      </c>
      <c r="H31" s="280">
        <f t="shared" si="34"/>
        <v>280770</v>
      </c>
      <c r="I31" s="280">
        <f t="shared" si="34"/>
        <v>280770</v>
      </c>
      <c r="J31" s="280">
        <f t="shared" si="34"/>
        <v>280770</v>
      </c>
      <c r="K31" s="280">
        <f t="shared" si="34"/>
        <v>361035</v>
      </c>
      <c r="L31" s="2075"/>
      <c r="M31" s="958">
        <f>SUM(F31:L31)</f>
        <v>1772338</v>
      </c>
      <c r="N31" s="3504"/>
      <c r="O31" s="374"/>
    </row>
    <row r="32" spans="1:26" s="3010" customFormat="1" hidden="1">
      <c r="A32" s="3440"/>
      <c r="B32" s="2076" t="s">
        <v>485</v>
      </c>
      <c r="C32" s="3004"/>
      <c r="D32" s="1345"/>
      <c r="E32" s="2077"/>
      <c r="F32" s="2077"/>
      <c r="G32" s="2077"/>
      <c r="H32" s="2077"/>
      <c r="I32" s="2077"/>
      <c r="J32" s="2077"/>
      <c r="K32" s="2077"/>
      <c r="L32" s="2077"/>
      <c r="M32" s="2078"/>
      <c r="N32" s="3504"/>
      <c r="O32" s="374"/>
    </row>
    <row r="33" spans="1:15" s="3010" customFormat="1" hidden="1">
      <c r="A33" s="3440"/>
      <c r="B33" s="2079" t="s">
        <v>326</v>
      </c>
      <c r="C33" s="3008"/>
      <c r="D33" s="1426">
        <f>SUM(F33:K33)</f>
        <v>1693695</v>
      </c>
      <c r="E33" s="2080"/>
      <c r="F33" s="2080">
        <v>268800</v>
      </c>
      <c r="G33" s="2080">
        <v>268800</v>
      </c>
      <c r="H33" s="2080">
        <v>268800</v>
      </c>
      <c r="I33" s="2080">
        <v>268800</v>
      </c>
      <c r="J33" s="2080">
        <v>268800</v>
      </c>
      <c r="K33" s="2080">
        <f>268800+80895</f>
        <v>349695</v>
      </c>
      <c r="L33" s="2080"/>
      <c r="M33" s="2081">
        <f>SUM(F33:L33)</f>
        <v>1693695</v>
      </c>
      <c r="N33" s="3504"/>
      <c r="O33" s="374"/>
    </row>
    <row r="34" spans="1:15" s="3010" customFormat="1" hidden="1">
      <c r="A34" s="3440"/>
      <c r="B34" s="2079" t="s">
        <v>112</v>
      </c>
      <c r="C34" s="3008"/>
      <c r="D34" s="1345">
        <f>SUM(F34:K34)</f>
        <v>78643</v>
      </c>
      <c r="E34" s="2082"/>
      <c r="F34" s="2082">
        <f>11970</f>
        <v>11970</v>
      </c>
      <c r="G34" s="2082">
        <f>11970+7453</f>
        <v>19423</v>
      </c>
      <c r="H34" s="2082">
        <v>11970</v>
      </c>
      <c r="I34" s="2082">
        <v>11970</v>
      </c>
      <c r="J34" s="2082">
        <v>11970</v>
      </c>
      <c r="K34" s="2082">
        <v>11340</v>
      </c>
      <c r="L34" s="2082"/>
      <c r="M34" s="2083">
        <f>SUM(F34:L34)</f>
        <v>78643</v>
      </c>
      <c r="N34" s="3504"/>
      <c r="O34" s="374"/>
    </row>
    <row r="35" spans="1:15" s="3010" customFormat="1" ht="12.75" customHeight="1">
      <c r="A35" s="3135"/>
      <c r="B35" s="21" t="s">
        <v>22</v>
      </c>
      <c r="C35" s="192"/>
      <c r="D35" s="400">
        <f>+D36</f>
        <v>1964760</v>
      </c>
      <c r="E35" s="400">
        <f t="shared" ref="E35:L35" si="35">+E36</f>
        <v>0</v>
      </c>
      <c r="F35" s="400">
        <f t="shared" si="35"/>
        <v>192422</v>
      </c>
      <c r="G35" s="400">
        <f t="shared" si="35"/>
        <v>280770</v>
      </c>
      <c r="H35" s="400">
        <f t="shared" si="35"/>
        <v>288223</v>
      </c>
      <c r="I35" s="400">
        <f t="shared" si="35"/>
        <v>280770</v>
      </c>
      <c r="J35" s="400">
        <f t="shared" si="35"/>
        <v>280770</v>
      </c>
      <c r="K35" s="400">
        <f t="shared" si="35"/>
        <v>280770</v>
      </c>
      <c r="L35" s="400">
        <f t="shared" si="35"/>
        <v>361035</v>
      </c>
      <c r="M35" s="3481" t="s">
        <v>61</v>
      </c>
      <c r="N35" s="3504"/>
      <c r="O35" s="374"/>
    </row>
    <row r="36" spans="1:15" s="3010" customFormat="1" ht="12.75" customHeight="1">
      <c r="A36" s="3135"/>
      <c r="B36" s="410" t="s">
        <v>18</v>
      </c>
      <c r="C36" s="3388" t="s">
        <v>155</v>
      </c>
      <c r="D36" s="407">
        <f>+D37</f>
        <v>1964760</v>
      </c>
      <c r="E36" s="407">
        <f t="shared" ref="E36:L36" si="36">E37</f>
        <v>0</v>
      </c>
      <c r="F36" s="407">
        <f t="shared" si="36"/>
        <v>192422</v>
      </c>
      <c r="G36" s="407">
        <f t="shared" si="36"/>
        <v>280770</v>
      </c>
      <c r="H36" s="407">
        <f t="shared" si="36"/>
        <v>288223</v>
      </c>
      <c r="I36" s="407">
        <f t="shared" si="36"/>
        <v>280770</v>
      </c>
      <c r="J36" s="407">
        <f t="shared" si="36"/>
        <v>280770</v>
      </c>
      <c r="K36" s="407">
        <f t="shared" si="36"/>
        <v>280770</v>
      </c>
      <c r="L36" s="407">
        <f t="shared" si="36"/>
        <v>361035</v>
      </c>
      <c r="M36" s="3456"/>
      <c r="N36" s="3504"/>
    </row>
    <row r="37" spans="1:15" s="3010" customFormat="1" ht="12" customHeight="1" thickBot="1">
      <c r="A37" s="3136"/>
      <c r="B37" s="411" t="s">
        <v>21</v>
      </c>
      <c r="C37" s="3381"/>
      <c r="D37" s="280">
        <f>E37+F37+G37+H37+I37+J37+K37+L37</f>
        <v>1964760</v>
      </c>
      <c r="E37" s="2071">
        <v>0</v>
      </c>
      <c r="F37" s="2075">
        <v>192422</v>
      </c>
      <c r="G37" s="2075">
        <v>280770</v>
      </c>
      <c r="H37" s="2075">
        <v>288223</v>
      </c>
      <c r="I37" s="2075">
        <v>280770</v>
      </c>
      <c r="J37" s="2075">
        <v>280770</v>
      </c>
      <c r="K37" s="2075">
        <v>280770</v>
      </c>
      <c r="L37" s="2075">
        <v>361035</v>
      </c>
      <c r="M37" s="3457"/>
      <c r="N37" s="3505"/>
      <c r="O37" s="374">
        <f>D37-D31</f>
        <v>0</v>
      </c>
    </row>
    <row r="38" spans="1:15" s="3010" customFormat="1" ht="36.75" customHeight="1">
      <c r="A38" s="3439" t="s">
        <v>64</v>
      </c>
      <c r="B38" s="187" t="s">
        <v>511</v>
      </c>
      <c r="C38" s="188" t="s">
        <v>111</v>
      </c>
      <c r="D38" s="206"/>
      <c r="E38" s="205"/>
      <c r="F38" s="205"/>
      <c r="G38" s="205"/>
      <c r="H38" s="205"/>
      <c r="I38" s="205"/>
      <c r="J38" s="205"/>
      <c r="K38" s="205"/>
      <c r="L38" s="292"/>
      <c r="M38" s="399"/>
      <c r="N38" s="3503" t="s">
        <v>347</v>
      </c>
      <c r="O38" s="3010" t="s">
        <v>526</v>
      </c>
    </row>
    <row r="39" spans="1:15" s="3010" customFormat="1" ht="12" customHeight="1">
      <c r="A39" s="3440"/>
      <c r="B39" s="826" t="s">
        <v>10</v>
      </c>
      <c r="C39" s="2871"/>
      <c r="D39" s="2872">
        <f t="shared" ref="D39:I39" si="37">+D40+D49</f>
        <v>1332900</v>
      </c>
      <c r="E39" s="2872">
        <f t="shared" si="37"/>
        <v>77736</v>
      </c>
      <c r="F39" s="2872">
        <f t="shared" si="37"/>
        <v>455234</v>
      </c>
      <c r="G39" s="2872">
        <f t="shared" si="37"/>
        <v>266680</v>
      </c>
      <c r="H39" s="2872">
        <f t="shared" si="37"/>
        <v>266680</v>
      </c>
      <c r="I39" s="2872">
        <f t="shared" si="37"/>
        <v>266570</v>
      </c>
      <c r="J39" s="2873">
        <v>0</v>
      </c>
      <c r="K39" s="2872"/>
      <c r="L39" s="2872"/>
      <c r="M39" s="2874">
        <f>+M40+M49</f>
        <v>1255164</v>
      </c>
      <c r="N39" s="3504"/>
      <c r="O39" s="374"/>
    </row>
    <row r="40" spans="1:15" s="3010" customFormat="1" ht="12" customHeight="1">
      <c r="A40" s="3440"/>
      <c r="B40" s="783" t="s">
        <v>24</v>
      </c>
      <c r="C40" s="3500" t="s">
        <v>155</v>
      </c>
      <c r="D40" s="2875">
        <f>+D41+D45</f>
        <v>201211</v>
      </c>
      <c r="E40" s="2875">
        <f>+E41+E45</f>
        <v>11669</v>
      </c>
      <c r="F40" s="2875">
        <f t="shared" ref="F40:I40" si="38">+F41+F45</f>
        <v>68626</v>
      </c>
      <c r="G40" s="2875">
        <f t="shared" si="38"/>
        <v>40342</v>
      </c>
      <c r="H40" s="2875">
        <f t="shared" si="38"/>
        <v>40342</v>
      </c>
      <c r="I40" s="2875">
        <f t="shared" si="38"/>
        <v>40232</v>
      </c>
      <c r="J40" s="2876">
        <v>0</v>
      </c>
      <c r="K40" s="2875"/>
      <c r="L40" s="2875"/>
      <c r="M40" s="2877">
        <f>+I40+H40+G40+F40</f>
        <v>189542</v>
      </c>
      <c r="N40" s="3504"/>
    </row>
    <row r="41" spans="1:15" s="3010" customFormat="1" ht="12" customHeight="1">
      <c r="A41" s="3440"/>
      <c r="B41" s="190" t="s">
        <v>12</v>
      </c>
      <c r="C41" s="3506"/>
      <c r="D41" s="2819">
        <f>E41+F41+G41+H41+I41+J41+K41+L41</f>
        <v>68070</v>
      </c>
      <c r="E41" s="2878">
        <v>3896</v>
      </c>
      <c r="F41" s="1889">
        <f t="shared" ref="F41:I41" si="39">+F43+F44</f>
        <v>23142</v>
      </c>
      <c r="G41" s="1889">
        <f t="shared" si="39"/>
        <v>13714</v>
      </c>
      <c r="H41" s="1889">
        <f t="shared" si="39"/>
        <v>13714</v>
      </c>
      <c r="I41" s="1889">
        <f t="shared" si="39"/>
        <v>13604</v>
      </c>
      <c r="J41" s="2269">
        <v>0</v>
      </c>
      <c r="K41" s="531"/>
      <c r="L41" s="531"/>
      <c r="M41" s="2877">
        <f>+I41+H41+G41+F41</f>
        <v>64174</v>
      </c>
      <c r="N41" s="3504"/>
    </row>
    <row r="42" spans="1:15" s="3010" customFormat="1" ht="12" hidden="1" customHeight="1">
      <c r="A42" s="3440"/>
      <c r="B42" s="190" t="s">
        <v>156</v>
      </c>
      <c r="C42" s="3506"/>
      <c r="D42" s="2819">
        <f>E42+F42+G42+H42+I42+J42+K42+L42</f>
        <v>0</v>
      </c>
      <c r="E42" s="2878">
        <v>0</v>
      </c>
      <c r="F42" s="1889"/>
      <c r="G42" s="1889"/>
      <c r="H42" s="1889"/>
      <c r="I42" s="1889"/>
      <c r="J42" s="2269"/>
      <c r="K42" s="531"/>
      <c r="L42" s="531"/>
      <c r="M42" s="2877"/>
      <c r="N42" s="3504"/>
    </row>
    <row r="43" spans="1:15" s="3010" customFormat="1" ht="12" hidden="1" customHeight="1">
      <c r="A43" s="3440"/>
      <c r="B43" s="2258" t="s">
        <v>326</v>
      </c>
      <c r="C43" s="3506"/>
      <c r="D43" s="2819">
        <f>E43+F43+G43+H43+I43+J43+K43+L43</f>
        <v>40570</v>
      </c>
      <c r="E43" s="2878">
        <v>3610</v>
      </c>
      <c r="F43" s="2879">
        <v>9240</v>
      </c>
      <c r="G43" s="2879">
        <v>9240</v>
      </c>
      <c r="H43" s="191">
        <v>9240</v>
      </c>
      <c r="I43" s="191">
        <v>9240</v>
      </c>
      <c r="J43" s="2269">
        <v>0</v>
      </c>
      <c r="K43" s="531"/>
      <c r="L43" s="531"/>
      <c r="M43" s="2880">
        <f>+I43+H43+G43+F43</f>
        <v>36960</v>
      </c>
      <c r="N43" s="3504"/>
    </row>
    <row r="44" spans="1:15" s="3010" customFormat="1" ht="12" hidden="1" customHeight="1">
      <c r="A44" s="3440"/>
      <c r="B44" s="1390" t="s">
        <v>112</v>
      </c>
      <c r="C44" s="3506"/>
      <c r="D44" s="2819">
        <f>E44+F44+G44+H44+I44+J44+K44+L44</f>
        <v>27500</v>
      </c>
      <c r="E44" s="2878">
        <v>286</v>
      </c>
      <c r="F44" s="1889">
        <v>13902</v>
      </c>
      <c r="G44" s="1889">
        <v>4474</v>
      </c>
      <c r="H44" s="1889">
        <v>4474</v>
      </c>
      <c r="I44" s="1889">
        <v>4364</v>
      </c>
      <c r="J44" s="2270">
        <v>0</v>
      </c>
      <c r="K44" s="1889"/>
      <c r="L44" s="1889"/>
      <c r="M44" s="2880">
        <f>+I44+H44+G44+F44</f>
        <v>27214</v>
      </c>
      <c r="N44" s="3504"/>
    </row>
    <row r="45" spans="1:15" s="3010" customFormat="1" ht="12" customHeight="1">
      <c r="A45" s="3440"/>
      <c r="B45" s="190" t="s">
        <v>13</v>
      </c>
      <c r="C45" s="3506"/>
      <c r="D45" s="2819">
        <f>E45+F45+G45+H45+I45+J45+K45+L45</f>
        <v>133141</v>
      </c>
      <c r="E45" s="2878">
        <v>7773</v>
      </c>
      <c r="F45" s="191">
        <f>+F47+F48</f>
        <v>45484</v>
      </c>
      <c r="G45" s="191">
        <f>+G47+G48</f>
        <v>26628</v>
      </c>
      <c r="H45" s="191">
        <f>+H47+H48</f>
        <v>26628</v>
      </c>
      <c r="I45" s="191">
        <f>+I47+I48</f>
        <v>26628</v>
      </c>
      <c r="J45" s="1855">
        <v>0</v>
      </c>
      <c r="K45" s="191"/>
      <c r="L45" s="191"/>
      <c r="M45" s="2880">
        <f>+I45+H45+G45+F45</f>
        <v>125368</v>
      </c>
      <c r="N45" s="3504"/>
    </row>
    <row r="46" spans="1:15" s="3010" customFormat="1" ht="12" hidden="1" customHeight="1">
      <c r="A46" s="3440"/>
      <c r="B46" s="190" t="s">
        <v>156</v>
      </c>
      <c r="C46" s="3506"/>
      <c r="D46" s="2879"/>
      <c r="E46" s="191"/>
      <c r="F46" s="191"/>
      <c r="G46" s="191"/>
      <c r="H46" s="191"/>
      <c r="I46" s="191"/>
      <c r="J46" s="1855"/>
      <c r="K46" s="191"/>
      <c r="L46" s="191"/>
      <c r="M46" s="2880"/>
      <c r="N46" s="3504"/>
    </row>
    <row r="47" spans="1:15" s="3010" customFormat="1" ht="12" hidden="1" customHeight="1">
      <c r="A47" s="3440"/>
      <c r="B47" s="2258" t="s">
        <v>326</v>
      </c>
      <c r="C47" s="3506"/>
      <c r="D47" s="2879">
        <f>+F47+G47+H47+I47</f>
        <v>73920</v>
      </c>
      <c r="E47" s="191">
        <v>0</v>
      </c>
      <c r="F47" s="191">
        <v>18480</v>
      </c>
      <c r="G47" s="191">
        <v>18480</v>
      </c>
      <c r="H47" s="191">
        <v>18480</v>
      </c>
      <c r="I47" s="191">
        <v>18480</v>
      </c>
      <c r="J47" s="1855">
        <v>0</v>
      </c>
      <c r="K47" s="191"/>
      <c r="L47" s="191"/>
      <c r="M47" s="2880">
        <f>+I47+H47+G47+F47</f>
        <v>73920</v>
      </c>
      <c r="N47" s="3504"/>
    </row>
    <row r="48" spans="1:15" s="3010" customFormat="1" ht="12" hidden="1" customHeight="1">
      <c r="A48" s="3440"/>
      <c r="B48" s="2272" t="s">
        <v>112</v>
      </c>
      <c r="C48" s="3506"/>
      <c r="D48" s="2879">
        <f>+F48+G48+H48+I48</f>
        <v>51448</v>
      </c>
      <c r="E48" s="191">
        <v>0</v>
      </c>
      <c r="F48" s="191">
        <v>27004</v>
      </c>
      <c r="G48" s="191">
        <v>8148</v>
      </c>
      <c r="H48" s="191">
        <v>8148</v>
      </c>
      <c r="I48" s="191">
        <v>8148</v>
      </c>
      <c r="J48" s="1855">
        <v>0</v>
      </c>
      <c r="K48" s="191"/>
      <c r="L48" s="191"/>
      <c r="M48" s="2880">
        <f>+I48+H48+G48+F48</f>
        <v>51448</v>
      </c>
      <c r="N48" s="3504"/>
    </row>
    <row r="49" spans="1:15" s="3010" customFormat="1" ht="12" customHeight="1">
      <c r="A49" s="3440"/>
      <c r="B49" s="882" t="s">
        <v>18</v>
      </c>
      <c r="C49" s="3388"/>
      <c r="D49" s="2881">
        <f>+D50</f>
        <v>1131689</v>
      </c>
      <c r="E49" s="2881">
        <f>+E50</f>
        <v>66067</v>
      </c>
      <c r="F49" s="2881">
        <f t="shared" ref="F49:I49" si="40">+F50</f>
        <v>386608</v>
      </c>
      <c r="G49" s="2881">
        <f t="shared" si="40"/>
        <v>226338</v>
      </c>
      <c r="H49" s="2881">
        <f t="shared" si="40"/>
        <v>226338</v>
      </c>
      <c r="I49" s="2881">
        <f t="shared" si="40"/>
        <v>226338</v>
      </c>
      <c r="J49" s="2882">
        <v>0</v>
      </c>
      <c r="K49" s="2881"/>
      <c r="L49" s="2881"/>
      <c r="M49" s="2877">
        <f>+I49+H49+G49+F49</f>
        <v>1065622</v>
      </c>
      <c r="N49" s="3504"/>
    </row>
    <row r="50" spans="1:15" s="3010" customFormat="1" ht="12" customHeight="1">
      <c r="A50" s="3440"/>
      <c r="B50" s="2074" t="s">
        <v>21</v>
      </c>
      <c r="C50" s="3377"/>
      <c r="D50" s="2819">
        <f>E50+F50+G50+H50+I50+J50+K50+L50</f>
        <v>1131689</v>
      </c>
      <c r="E50" s="2878">
        <v>66067</v>
      </c>
      <c r="F50" s="152">
        <f t="shared" ref="F50:I50" si="41">+F52+F53</f>
        <v>386608</v>
      </c>
      <c r="G50" s="152">
        <f t="shared" si="41"/>
        <v>226338</v>
      </c>
      <c r="H50" s="152">
        <f t="shared" si="41"/>
        <v>226338</v>
      </c>
      <c r="I50" s="152">
        <f t="shared" si="41"/>
        <v>226338</v>
      </c>
      <c r="J50" s="2063">
        <v>0</v>
      </c>
      <c r="K50" s="152"/>
      <c r="L50" s="152"/>
      <c r="M50" s="2880">
        <f>+I50+H50+G50+F50</f>
        <v>1065622</v>
      </c>
      <c r="N50" s="3504"/>
    </row>
    <row r="51" spans="1:15" s="3010" customFormat="1" ht="12" hidden="1" customHeight="1">
      <c r="A51" s="3440"/>
      <c r="B51" s="2273" t="s">
        <v>156</v>
      </c>
      <c r="C51" s="3008"/>
      <c r="D51" s="191"/>
      <c r="E51" s="1855"/>
      <c r="F51" s="815"/>
      <c r="G51" s="815"/>
      <c r="H51" s="815"/>
      <c r="I51" s="815"/>
      <c r="J51" s="1986"/>
      <c r="K51" s="815"/>
      <c r="L51" s="815"/>
      <c r="M51" s="2880"/>
      <c r="N51" s="3504"/>
    </row>
    <row r="52" spans="1:15" s="3010" customFormat="1" ht="12" hidden="1" customHeight="1">
      <c r="A52" s="3440"/>
      <c r="B52" s="2258" t="s">
        <v>326</v>
      </c>
      <c r="C52" s="3008"/>
      <c r="D52" s="191">
        <f>+F52+G52+H52+I52</f>
        <v>628320</v>
      </c>
      <c r="E52" s="1855">
        <v>0</v>
      </c>
      <c r="F52" s="2883">
        <v>157080</v>
      </c>
      <c r="G52" s="2883">
        <v>157080</v>
      </c>
      <c r="H52" s="2883">
        <v>157080</v>
      </c>
      <c r="I52" s="2883">
        <v>157080</v>
      </c>
      <c r="J52" s="2884">
        <v>0</v>
      </c>
      <c r="K52" s="2883"/>
      <c r="L52" s="2883"/>
      <c r="M52" s="2880">
        <f>+I52+H52+G52+F52</f>
        <v>628320</v>
      </c>
      <c r="N52" s="3504"/>
    </row>
    <row r="53" spans="1:15" s="3010" customFormat="1" ht="12" hidden="1" customHeight="1">
      <c r="A53" s="3440"/>
      <c r="B53" s="2272" t="s">
        <v>112</v>
      </c>
      <c r="C53" s="3008"/>
      <c r="D53" s="2879">
        <f>+F53+G53+H53+I53</f>
        <v>437302</v>
      </c>
      <c r="E53" s="2885">
        <v>0</v>
      </c>
      <c r="F53" s="127">
        <v>229528</v>
      </c>
      <c r="G53" s="127">
        <v>69258</v>
      </c>
      <c r="H53" s="127">
        <v>69258</v>
      </c>
      <c r="I53" s="127">
        <v>69258</v>
      </c>
      <c r="J53" s="612">
        <v>0</v>
      </c>
      <c r="K53" s="127"/>
      <c r="L53" s="127"/>
      <c r="M53" s="2880">
        <f>+I53+H53+G53+F53</f>
        <v>437302</v>
      </c>
      <c r="N53" s="3504"/>
    </row>
    <row r="54" spans="1:15" s="3010" customFormat="1" ht="12" customHeight="1">
      <c r="A54" s="3440"/>
      <c r="B54" s="826" t="s">
        <v>22</v>
      </c>
      <c r="C54" s="2886"/>
      <c r="D54" s="2887">
        <f>+D55+D57</f>
        <v>1264829.7000000002</v>
      </c>
      <c r="E54" s="2887">
        <f>+E55+E57</f>
        <v>0</v>
      </c>
      <c r="F54" s="2887">
        <f>+F55+F57</f>
        <v>73839.700000000012</v>
      </c>
      <c r="G54" s="2887">
        <f t="shared" ref="G54:J54" si="42">+G55+G57</f>
        <v>558575</v>
      </c>
      <c r="H54" s="2887">
        <f t="shared" si="42"/>
        <v>252966</v>
      </c>
      <c r="I54" s="2887">
        <f t="shared" si="42"/>
        <v>252966</v>
      </c>
      <c r="J54" s="2887">
        <f t="shared" si="42"/>
        <v>126483</v>
      </c>
      <c r="K54" s="2887"/>
      <c r="L54" s="2887"/>
      <c r="M54" s="3480"/>
      <c r="N54" s="3504"/>
    </row>
    <row r="55" spans="1:15" s="3010" customFormat="1" ht="12" customHeight="1">
      <c r="A55" s="3440"/>
      <c r="B55" s="2888" t="s">
        <v>24</v>
      </c>
      <c r="C55" s="3500" t="s">
        <v>155</v>
      </c>
      <c r="D55" s="2875">
        <f>+D56</f>
        <v>133140.6</v>
      </c>
      <c r="E55" s="2875">
        <f>+E56</f>
        <v>0</v>
      </c>
      <c r="F55" s="2875">
        <f>+F56</f>
        <v>7772.6</v>
      </c>
      <c r="G55" s="2875">
        <f t="shared" ref="G55:J55" si="43">+G56</f>
        <v>58798</v>
      </c>
      <c r="H55" s="2875">
        <f t="shared" si="43"/>
        <v>26628</v>
      </c>
      <c r="I55" s="2875">
        <f t="shared" si="43"/>
        <v>26628</v>
      </c>
      <c r="J55" s="2875">
        <f t="shared" si="43"/>
        <v>13314</v>
      </c>
      <c r="K55" s="2875"/>
      <c r="L55" s="2875"/>
      <c r="M55" s="3456"/>
      <c r="N55" s="3504"/>
    </row>
    <row r="56" spans="1:15" s="3010" customFormat="1" ht="12" customHeight="1">
      <c r="A56" s="3440"/>
      <c r="B56" s="194" t="s">
        <v>13</v>
      </c>
      <c r="C56" s="3506"/>
      <c r="D56" s="2819">
        <f>E56+F56+G56+H56+I56+J56+K56+L56</f>
        <v>133140.6</v>
      </c>
      <c r="E56" s="2878">
        <v>0</v>
      </c>
      <c r="F56" s="2889">
        <v>7772.6</v>
      </c>
      <c r="G56" s="2889">
        <v>58798</v>
      </c>
      <c r="H56" s="2889">
        <v>26628</v>
      </c>
      <c r="I56" s="2889">
        <v>26628</v>
      </c>
      <c r="J56" s="2889">
        <v>13314</v>
      </c>
      <c r="K56" s="2889"/>
      <c r="L56" s="2889"/>
      <c r="M56" s="3456"/>
      <c r="N56" s="3504"/>
    </row>
    <row r="57" spans="1:15" s="3010" customFormat="1" ht="12" customHeight="1">
      <c r="A57" s="3440"/>
      <c r="B57" s="2890" t="s">
        <v>18</v>
      </c>
      <c r="C57" s="3388"/>
      <c r="D57" s="2881">
        <f>+D58</f>
        <v>1131689.1000000001</v>
      </c>
      <c r="E57" s="2881">
        <f>+E58</f>
        <v>0</v>
      </c>
      <c r="F57" s="2881">
        <f>+F58</f>
        <v>66067.100000000006</v>
      </c>
      <c r="G57" s="2881">
        <f t="shared" ref="G57:J57" si="44">+G58</f>
        <v>499777</v>
      </c>
      <c r="H57" s="2881">
        <f t="shared" si="44"/>
        <v>226338</v>
      </c>
      <c r="I57" s="2881">
        <f t="shared" si="44"/>
        <v>226338</v>
      </c>
      <c r="J57" s="2881">
        <f t="shared" si="44"/>
        <v>113169</v>
      </c>
      <c r="K57" s="2881"/>
      <c r="L57" s="2881"/>
      <c r="M57" s="3456"/>
      <c r="N57" s="3504"/>
    </row>
    <row r="58" spans="1:15" s="3010" customFormat="1" ht="12" customHeight="1" thickBot="1">
      <c r="A58" s="3483"/>
      <c r="B58" s="411" t="s">
        <v>21</v>
      </c>
      <c r="C58" s="3381"/>
      <c r="D58" s="1337">
        <f>E58+F58+G58+H58+I58+J58+K58+L58</f>
        <v>1131689.1000000001</v>
      </c>
      <c r="E58" s="2891">
        <v>0</v>
      </c>
      <c r="F58" s="821">
        <v>66067.100000000006</v>
      </c>
      <c r="G58" s="821">
        <v>499777</v>
      </c>
      <c r="H58" s="821">
        <v>226338</v>
      </c>
      <c r="I58" s="821">
        <v>226338</v>
      </c>
      <c r="J58" s="821">
        <v>113169</v>
      </c>
      <c r="K58" s="821"/>
      <c r="L58" s="821"/>
      <c r="M58" s="3457"/>
      <c r="N58" s="3505"/>
    </row>
    <row r="59" spans="1:15" s="3010" customFormat="1" ht="36.75" customHeight="1">
      <c r="A59" s="3439" t="s">
        <v>65</v>
      </c>
      <c r="B59" s="187" t="s">
        <v>530</v>
      </c>
      <c r="C59" s="188" t="s">
        <v>81</v>
      </c>
      <c r="D59" s="206"/>
      <c r="E59" s="205"/>
      <c r="F59" s="205"/>
      <c r="G59" s="205"/>
      <c r="H59" s="205"/>
      <c r="I59" s="205"/>
      <c r="J59" s="205"/>
      <c r="K59" s="205"/>
      <c r="L59" s="292"/>
      <c r="M59" s="399"/>
      <c r="N59" s="3503" t="s">
        <v>112</v>
      </c>
      <c r="O59" s="3010" t="s">
        <v>526</v>
      </c>
    </row>
    <row r="60" spans="1:15" s="3010" customFormat="1" ht="12" customHeight="1">
      <c r="A60" s="3440"/>
      <c r="B60" s="21" t="s">
        <v>10</v>
      </c>
      <c r="C60" s="196"/>
      <c r="D60" s="400">
        <f>+D61+D64</f>
        <v>12600</v>
      </c>
      <c r="E60" s="400">
        <f t="shared" ref="E60" si="45">+E61+E64</f>
        <v>0</v>
      </c>
      <c r="F60" s="400">
        <f t="shared" ref="F60:I60" si="46">+F61+F64</f>
        <v>12600</v>
      </c>
      <c r="G60" s="2069">
        <f t="shared" si="46"/>
        <v>0</v>
      </c>
      <c r="H60" s="2069">
        <f t="shared" si="46"/>
        <v>0</v>
      </c>
      <c r="I60" s="2069">
        <f t="shared" si="46"/>
        <v>0</v>
      </c>
      <c r="J60" s="400"/>
      <c r="K60" s="400"/>
      <c r="L60" s="400"/>
      <c r="M60" s="401">
        <f>M61+M64</f>
        <v>12600</v>
      </c>
      <c r="N60" s="3504"/>
      <c r="O60" s="374"/>
    </row>
    <row r="61" spans="1:15" s="3010" customFormat="1" ht="12" customHeight="1">
      <c r="A61" s="3440"/>
      <c r="B61" s="189" t="s">
        <v>24</v>
      </c>
      <c r="C61" s="3489" t="s">
        <v>155</v>
      </c>
      <c r="D61" s="402">
        <f>+D62+D63</f>
        <v>1890</v>
      </c>
      <c r="E61" s="402">
        <f>+E62+E63</f>
        <v>0</v>
      </c>
      <c r="F61" s="402">
        <f>+F62+F63</f>
        <v>1890</v>
      </c>
      <c r="G61" s="2070">
        <f t="shared" ref="G61:H61" si="47">+G63</f>
        <v>0</v>
      </c>
      <c r="H61" s="2070">
        <f t="shared" si="47"/>
        <v>0</v>
      </c>
      <c r="I61" s="2070">
        <f>+I63</f>
        <v>0</v>
      </c>
      <c r="J61" s="402"/>
      <c r="K61" s="402"/>
      <c r="L61" s="402"/>
      <c r="M61" s="403">
        <f>+M62+M63</f>
        <v>1890</v>
      </c>
      <c r="N61" s="3504"/>
    </row>
    <row r="62" spans="1:15" s="3010" customFormat="1" ht="12" customHeight="1">
      <c r="A62" s="3440"/>
      <c r="B62" s="190" t="s">
        <v>12</v>
      </c>
      <c r="C62" s="3506"/>
      <c r="D62" s="280">
        <f>E62+F62+G62+H62+I62+J62+K62+L62</f>
        <v>630</v>
      </c>
      <c r="E62" s="2071">
        <v>0</v>
      </c>
      <c r="F62" s="1889">
        <v>630</v>
      </c>
      <c r="G62" s="2269">
        <v>0</v>
      </c>
      <c r="H62" s="2269">
        <v>0</v>
      </c>
      <c r="I62" s="2269">
        <v>0</v>
      </c>
      <c r="J62" s="531"/>
      <c r="K62" s="531"/>
      <c r="L62" s="531"/>
      <c r="M62" s="384">
        <f>SUM(F62:I62)</f>
        <v>630</v>
      </c>
      <c r="N62" s="3504"/>
    </row>
    <row r="63" spans="1:15" s="3010" customFormat="1" ht="12" customHeight="1">
      <c r="A63" s="3440"/>
      <c r="B63" s="190" t="s">
        <v>13</v>
      </c>
      <c r="C63" s="3388"/>
      <c r="D63" s="280">
        <f>E63+F63+G63+H63+I63+J63+K63+L63</f>
        <v>1260</v>
      </c>
      <c r="E63" s="2071">
        <v>0</v>
      </c>
      <c r="F63" s="191">
        <v>1260</v>
      </c>
      <c r="G63" s="1855">
        <v>0</v>
      </c>
      <c r="H63" s="1855">
        <v>0</v>
      </c>
      <c r="I63" s="1855">
        <v>0</v>
      </c>
      <c r="J63" s="191"/>
      <c r="K63" s="191"/>
      <c r="L63" s="191"/>
      <c r="M63" s="384">
        <f>SUM(F63:I63)</f>
        <v>1260</v>
      </c>
      <c r="N63" s="3504"/>
    </row>
    <row r="64" spans="1:15" s="3010" customFormat="1" ht="12" customHeight="1">
      <c r="A64" s="3440"/>
      <c r="B64" s="92" t="s">
        <v>18</v>
      </c>
      <c r="C64" s="3388"/>
      <c r="D64" s="407">
        <f t="shared" ref="D64:I64" si="48">D65</f>
        <v>10710</v>
      </c>
      <c r="E64" s="407">
        <f t="shared" si="48"/>
        <v>0</v>
      </c>
      <c r="F64" s="407">
        <f t="shared" si="48"/>
        <v>10710</v>
      </c>
      <c r="G64" s="2073">
        <f t="shared" si="48"/>
        <v>0</v>
      </c>
      <c r="H64" s="2073">
        <f t="shared" si="48"/>
        <v>0</v>
      </c>
      <c r="I64" s="2073">
        <f t="shared" si="48"/>
        <v>0</v>
      </c>
      <c r="J64" s="407"/>
      <c r="K64" s="407"/>
      <c r="L64" s="407"/>
      <c r="M64" s="2276">
        <f>+M65</f>
        <v>10710</v>
      </c>
      <c r="N64" s="3504"/>
    </row>
    <row r="65" spans="1:14" s="3010" customFormat="1" ht="12" customHeight="1">
      <c r="A65" s="3440"/>
      <c r="B65" s="408" t="s">
        <v>21</v>
      </c>
      <c r="C65" s="3377"/>
      <c r="D65" s="280">
        <f>E65+F65+G65+H65+I65+J65+K65+L65</f>
        <v>10710</v>
      </c>
      <c r="E65" s="2071">
        <v>0</v>
      </c>
      <c r="F65" s="151">
        <v>10710</v>
      </c>
      <c r="G65" s="1856">
        <v>0</v>
      </c>
      <c r="H65" s="1856">
        <v>0</v>
      </c>
      <c r="I65" s="1856">
        <v>0</v>
      </c>
      <c r="J65" s="151"/>
      <c r="K65" s="151"/>
      <c r="L65" s="151"/>
      <c r="M65" s="384">
        <f>SUM(F65:I65)</f>
        <v>10710</v>
      </c>
      <c r="N65" s="3504"/>
    </row>
    <row r="66" spans="1:14" s="3010" customFormat="1" ht="12" customHeight="1">
      <c r="A66" s="3135"/>
      <c r="B66" s="21" t="s">
        <v>22</v>
      </c>
      <c r="C66" s="192"/>
      <c r="D66" s="400">
        <f>+D67+D69</f>
        <v>11970</v>
      </c>
      <c r="E66" s="400">
        <f t="shared" ref="E66" si="49">E67+E69</f>
        <v>0</v>
      </c>
      <c r="F66" s="2069">
        <f t="shared" ref="F66:I66" si="50">F67+F69</f>
        <v>0</v>
      </c>
      <c r="G66" s="400">
        <f t="shared" si="50"/>
        <v>11970</v>
      </c>
      <c r="H66" s="2069">
        <f t="shared" si="50"/>
        <v>0</v>
      </c>
      <c r="I66" s="2069">
        <f t="shared" si="50"/>
        <v>0</v>
      </c>
      <c r="J66" s="400"/>
      <c r="K66" s="400"/>
      <c r="L66" s="400"/>
      <c r="M66" s="3481" t="s">
        <v>61</v>
      </c>
      <c r="N66" s="3504"/>
    </row>
    <row r="67" spans="1:14" s="3010" customFormat="1" ht="12" customHeight="1">
      <c r="A67" s="3135"/>
      <c r="B67" s="193" t="s">
        <v>24</v>
      </c>
      <c r="C67" s="3489" t="s">
        <v>155</v>
      </c>
      <c r="D67" s="402">
        <f t="shared" ref="D67:I67" si="51">D68</f>
        <v>1260</v>
      </c>
      <c r="E67" s="402">
        <f t="shared" si="51"/>
        <v>0</v>
      </c>
      <c r="F67" s="2070">
        <f t="shared" si="51"/>
        <v>0</v>
      </c>
      <c r="G67" s="402">
        <f t="shared" si="51"/>
        <v>1260</v>
      </c>
      <c r="H67" s="2070">
        <f t="shared" si="51"/>
        <v>0</v>
      </c>
      <c r="I67" s="2070">
        <f t="shared" si="51"/>
        <v>0</v>
      </c>
      <c r="J67" s="402"/>
      <c r="K67" s="402"/>
      <c r="L67" s="402"/>
      <c r="M67" s="3456"/>
      <c r="N67" s="3504"/>
    </row>
    <row r="68" spans="1:14" s="3010" customFormat="1" ht="12" customHeight="1">
      <c r="A68" s="3135"/>
      <c r="B68" s="194" t="s">
        <v>13</v>
      </c>
      <c r="C68" s="3388"/>
      <c r="D68" s="280">
        <f>E68+F68+G68+H68+I68+J68+K68+L68</f>
        <v>1260</v>
      </c>
      <c r="E68" s="2071">
        <v>0</v>
      </c>
      <c r="F68" s="2277">
        <v>0</v>
      </c>
      <c r="G68" s="409">
        <v>1260</v>
      </c>
      <c r="H68" s="2277">
        <v>0</v>
      </c>
      <c r="I68" s="2277">
        <v>0</v>
      </c>
      <c r="J68" s="409"/>
      <c r="K68" s="409"/>
      <c r="L68" s="409"/>
      <c r="M68" s="3456"/>
      <c r="N68" s="3504"/>
    </row>
    <row r="69" spans="1:14" s="3010" customFormat="1" ht="12" customHeight="1">
      <c r="A69" s="3135"/>
      <c r="B69" s="410" t="s">
        <v>18</v>
      </c>
      <c r="C69" s="3388"/>
      <c r="D69" s="407">
        <f t="shared" ref="D69:I69" si="52">D70</f>
        <v>10710</v>
      </c>
      <c r="E69" s="407">
        <f t="shared" si="52"/>
        <v>0</v>
      </c>
      <c r="F69" s="2073">
        <f t="shared" si="52"/>
        <v>0</v>
      </c>
      <c r="G69" s="407">
        <f t="shared" si="52"/>
        <v>10710</v>
      </c>
      <c r="H69" s="2073">
        <f t="shared" si="52"/>
        <v>0</v>
      </c>
      <c r="I69" s="2073">
        <f t="shared" si="52"/>
        <v>0</v>
      </c>
      <c r="J69" s="407"/>
      <c r="K69" s="407"/>
      <c r="L69" s="407"/>
      <c r="M69" s="3456"/>
      <c r="N69" s="3504"/>
    </row>
    <row r="70" spans="1:14" s="3010" customFormat="1" ht="12" customHeight="1" thickBot="1">
      <c r="A70" s="3136"/>
      <c r="B70" s="411" t="s">
        <v>21</v>
      </c>
      <c r="C70" s="3381"/>
      <c r="D70" s="280">
        <f>E70+F70+G70+H70+I70+J70+K70+L70</f>
        <v>10710</v>
      </c>
      <c r="E70" s="2071">
        <v>0</v>
      </c>
      <c r="F70" s="335">
        <v>0</v>
      </c>
      <c r="G70" s="195">
        <v>10710</v>
      </c>
      <c r="H70" s="335">
        <v>0</v>
      </c>
      <c r="I70" s="335">
        <v>0</v>
      </c>
      <c r="J70" s="195"/>
      <c r="K70" s="195"/>
      <c r="L70" s="195"/>
      <c r="M70" s="3457"/>
      <c r="N70" s="3505"/>
    </row>
    <row r="71" spans="1:14" s="3010" customFormat="1" ht="42" customHeight="1">
      <c r="A71" s="3439" t="s">
        <v>66</v>
      </c>
      <c r="B71" s="187" t="s">
        <v>299</v>
      </c>
      <c r="C71" s="188" t="s">
        <v>111</v>
      </c>
      <c r="D71" s="206"/>
      <c r="E71" s="205"/>
      <c r="F71" s="206"/>
      <c r="G71" s="205"/>
      <c r="H71" s="205"/>
      <c r="I71" s="205"/>
      <c r="J71" s="205"/>
      <c r="K71" s="205"/>
      <c r="L71" s="292"/>
      <c r="M71" s="399"/>
      <c r="N71" s="3486" t="s">
        <v>368</v>
      </c>
    </row>
    <row r="72" spans="1:14" s="3010" customFormat="1" ht="14.25" customHeight="1">
      <c r="A72" s="3440"/>
      <c r="B72" s="826" t="s">
        <v>10</v>
      </c>
      <c r="C72" s="893"/>
      <c r="D72" s="1346">
        <f>+D73+D75</f>
        <v>9746842</v>
      </c>
      <c r="E72" s="1346">
        <f t="shared" ref="E72" si="53">+E73+E75</f>
        <v>2589029</v>
      </c>
      <c r="F72" s="1346">
        <f>+F73+F75</f>
        <v>2057813</v>
      </c>
      <c r="G72" s="1346">
        <f>+G73+G75</f>
        <v>2200000</v>
      </c>
      <c r="H72" s="1346">
        <f>+H73+H75</f>
        <v>1500000</v>
      </c>
      <c r="I72" s="1346">
        <f>+I73+I75</f>
        <v>1400000</v>
      </c>
      <c r="J72" s="1346"/>
      <c r="K72" s="1346"/>
      <c r="L72" s="1346"/>
      <c r="M72" s="1347">
        <f>M73+M75</f>
        <v>7157813</v>
      </c>
      <c r="N72" s="3487"/>
    </row>
    <row r="73" spans="1:14" s="3010" customFormat="1">
      <c r="A73" s="3440"/>
      <c r="B73" s="783" t="s">
        <v>24</v>
      </c>
      <c r="C73" s="3450" t="s">
        <v>228</v>
      </c>
      <c r="D73" s="1348">
        <f>+D74</f>
        <v>1462026</v>
      </c>
      <c r="E73" s="1348">
        <f t="shared" ref="E73:I73" si="54">+E74</f>
        <v>388354</v>
      </c>
      <c r="F73" s="1348">
        <f t="shared" si="54"/>
        <v>308672</v>
      </c>
      <c r="G73" s="1348">
        <f t="shared" si="54"/>
        <v>330000</v>
      </c>
      <c r="H73" s="1348">
        <f t="shared" si="54"/>
        <v>225000</v>
      </c>
      <c r="I73" s="1348">
        <f t="shared" si="54"/>
        <v>210000</v>
      </c>
      <c r="J73" s="1348"/>
      <c r="K73" s="1348"/>
      <c r="L73" s="1348"/>
      <c r="M73" s="879">
        <f>+M74</f>
        <v>1073672</v>
      </c>
      <c r="N73" s="3487"/>
    </row>
    <row r="74" spans="1:14" s="3010" customFormat="1">
      <c r="A74" s="3440"/>
      <c r="B74" s="190" t="s">
        <v>13</v>
      </c>
      <c r="C74" s="3388"/>
      <c r="D74" s="280">
        <f>E74+F74+G74+H74+I74+J74+K74+L74</f>
        <v>1462026</v>
      </c>
      <c r="E74" s="2071">
        <v>388354</v>
      </c>
      <c r="F74" s="191">
        <f>330000-21328</f>
        <v>308672</v>
      </c>
      <c r="G74" s="191">
        <v>330000</v>
      </c>
      <c r="H74" s="191">
        <v>225000</v>
      </c>
      <c r="I74" s="191">
        <v>210000</v>
      </c>
      <c r="J74" s="191"/>
      <c r="K74" s="191"/>
      <c r="L74" s="191"/>
      <c r="M74" s="1349">
        <f>SUM(F74:L74)</f>
        <v>1073672</v>
      </c>
      <c r="N74" s="3487"/>
    </row>
    <row r="75" spans="1:14" s="3010" customFormat="1" ht="12" customHeight="1">
      <c r="A75" s="3440"/>
      <c r="B75" s="882" t="s">
        <v>18</v>
      </c>
      <c r="C75" s="3388"/>
      <c r="D75" s="1350">
        <f>+D76</f>
        <v>8284816</v>
      </c>
      <c r="E75" s="1350">
        <f t="shared" ref="E75:I75" si="55">E76</f>
        <v>2200675</v>
      </c>
      <c r="F75" s="1350">
        <f t="shared" si="55"/>
        <v>1749141</v>
      </c>
      <c r="G75" s="1350">
        <f t="shared" si="55"/>
        <v>1870000</v>
      </c>
      <c r="H75" s="1350">
        <f t="shared" si="55"/>
        <v>1275000</v>
      </c>
      <c r="I75" s="1350">
        <f t="shared" si="55"/>
        <v>1190000</v>
      </c>
      <c r="J75" s="1350"/>
      <c r="K75" s="1350"/>
      <c r="L75" s="1350"/>
      <c r="M75" s="879">
        <f>+M76</f>
        <v>6084141</v>
      </c>
      <c r="N75" s="3487"/>
    </row>
    <row r="76" spans="1:14" s="3010" customFormat="1" ht="12" customHeight="1">
      <c r="A76" s="3440"/>
      <c r="B76" s="884" t="s">
        <v>21</v>
      </c>
      <c r="C76" s="3377"/>
      <c r="D76" s="280">
        <f>E76+F76+G76+H76+I76+J76+K76+L76</f>
        <v>8284816</v>
      </c>
      <c r="E76" s="2071">
        <v>2200675</v>
      </c>
      <c r="F76" s="151">
        <f>1870000-120859</f>
        <v>1749141</v>
      </c>
      <c r="G76" s="151">
        <v>1870000</v>
      </c>
      <c r="H76" s="151">
        <v>1275000</v>
      </c>
      <c r="I76" s="151">
        <v>1190000</v>
      </c>
      <c r="J76" s="151"/>
      <c r="K76" s="151"/>
      <c r="L76" s="151"/>
      <c r="M76" s="1349">
        <f>SUM(F76:L76)</f>
        <v>6084141</v>
      </c>
      <c r="N76" s="3487"/>
    </row>
    <row r="77" spans="1:14" s="3010" customFormat="1" ht="14.25" customHeight="1">
      <c r="A77" s="3135"/>
      <c r="B77" s="826" t="s">
        <v>22</v>
      </c>
      <c r="C77" s="886"/>
      <c r="D77" s="1346">
        <f>+D78+D80</f>
        <v>9746842</v>
      </c>
      <c r="E77" s="1346">
        <f t="shared" ref="E77" si="56">E78+E80</f>
        <v>2589029</v>
      </c>
      <c r="F77" s="1346">
        <f>F78+F80</f>
        <v>2057813</v>
      </c>
      <c r="G77" s="1346">
        <f>G78+G80</f>
        <v>2200000</v>
      </c>
      <c r="H77" s="827">
        <f>H78+H80</f>
        <v>1500000</v>
      </c>
      <c r="I77" s="1346">
        <f>I78+I80</f>
        <v>1400000</v>
      </c>
      <c r="J77" s="1346"/>
      <c r="K77" s="1346"/>
      <c r="L77" s="1346"/>
      <c r="M77" s="3455" t="s">
        <v>61</v>
      </c>
      <c r="N77" s="3487"/>
    </row>
    <row r="78" spans="1:14" s="3010" customFormat="1" ht="13.5" customHeight="1">
      <c r="A78" s="3135"/>
      <c r="B78" s="888" t="s">
        <v>24</v>
      </c>
      <c r="C78" s="3450" t="s">
        <v>228</v>
      </c>
      <c r="D78" s="1348">
        <f>+D79</f>
        <v>1462026</v>
      </c>
      <c r="E78" s="1348">
        <f t="shared" ref="E78:I78" si="57">E79</f>
        <v>388354</v>
      </c>
      <c r="F78" s="1348">
        <f t="shared" si="57"/>
        <v>308672</v>
      </c>
      <c r="G78" s="1348">
        <f t="shared" si="57"/>
        <v>330000</v>
      </c>
      <c r="H78" s="889">
        <f t="shared" si="57"/>
        <v>225000</v>
      </c>
      <c r="I78" s="1348">
        <f t="shared" si="57"/>
        <v>210000</v>
      </c>
      <c r="J78" s="1348"/>
      <c r="K78" s="1348"/>
      <c r="L78" s="1348"/>
      <c r="M78" s="3456"/>
      <c r="N78" s="3487"/>
    </row>
    <row r="79" spans="1:14" s="3010" customFormat="1" ht="13.5" customHeight="1">
      <c r="A79" s="3135"/>
      <c r="B79" s="194" t="s">
        <v>13</v>
      </c>
      <c r="C79" s="3388"/>
      <c r="D79" s="280">
        <f>E79+F79+G79+H79+I79+J79+K79+L79</f>
        <v>1462026</v>
      </c>
      <c r="E79" s="2071">
        <v>388354</v>
      </c>
      <c r="F79" s="834">
        <f>330000-21328</f>
        <v>308672</v>
      </c>
      <c r="G79" s="834">
        <v>330000</v>
      </c>
      <c r="H79" s="834">
        <v>225000</v>
      </c>
      <c r="I79" s="834">
        <v>210000</v>
      </c>
      <c r="J79" s="834"/>
      <c r="K79" s="834"/>
      <c r="L79" s="834"/>
      <c r="M79" s="3456"/>
      <c r="N79" s="3487"/>
    </row>
    <row r="80" spans="1:14" s="3010" customFormat="1">
      <c r="A80" s="3135"/>
      <c r="B80" s="891" t="s">
        <v>18</v>
      </c>
      <c r="C80" s="3388"/>
      <c r="D80" s="1350">
        <f>+D81</f>
        <v>8284816</v>
      </c>
      <c r="E80" s="1350">
        <f t="shared" ref="E80:I80" si="58">E81</f>
        <v>2200675</v>
      </c>
      <c r="F80" s="1350">
        <f t="shared" si="58"/>
        <v>1749141</v>
      </c>
      <c r="G80" s="1350">
        <f t="shared" si="58"/>
        <v>1870000</v>
      </c>
      <c r="H80" s="838">
        <f t="shared" si="58"/>
        <v>1275000</v>
      </c>
      <c r="I80" s="1350">
        <f t="shared" si="58"/>
        <v>1190000</v>
      </c>
      <c r="J80" s="1350"/>
      <c r="K80" s="1350"/>
      <c r="L80" s="1350"/>
      <c r="M80" s="3456"/>
      <c r="N80" s="3487"/>
    </row>
    <row r="81" spans="1:15" s="3010" customFormat="1" ht="12" customHeight="1" thickBot="1">
      <c r="A81" s="3136"/>
      <c r="B81" s="411" t="s">
        <v>21</v>
      </c>
      <c r="C81" s="3381"/>
      <c r="D81" s="280">
        <f>E81+F81+G81+H81+I81+J81+K81+L81</f>
        <v>8284816</v>
      </c>
      <c r="E81" s="2071">
        <v>2200675</v>
      </c>
      <c r="F81" s="821">
        <f>1870000-120859</f>
        <v>1749141</v>
      </c>
      <c r="G81" s="821">
        <v>1870000</v>
      </c>
      <c r="H81" s="821">
        <v>1275000</v>
      </c>
      <c r="I81" s="821">
        <v>1190000</v>
      </c>
      <c r="J81" s="821"/>
      <c r="K81" s="821"/>
      <c r="L81" s="821"/>
      <c r="M81" s="3457"/>
      <c r="N81" s="3488"/>
    </row>
    <row r="82" spans="1:15" s="3010" customFormat="1" ht="43.5" customHeight="1">
      <c r="A82" s="3439" t="s">
        <v>67</v>
      </c>
      <c r="B82" s="187" t="s">
        <v>348</v>
      </c>
      <c r="C82" s="188" t="s">
        <v>81</v>
      </c>
      <c r="D82" s="206"/>
      <c r="E82" s="464"/>
      <c r="F82" s="205"/>
      <c r="G82" s="205"/>
      <c r="H82" s="205"/>
      <c r="I82" s="205"/>
      <c r="J82" s="205"/>
      <c r="K82" s="205"/>
      <c r="L82" s="292"/>
      <c r="M82" s="399"/>
      <c r="N82" s="3486" t="s">
        <v>368</v>
      </c>
    </row>
    <row r="83" spans="1:15" s="3010" customFormat="1" ht="12" customHeight="1">
      <c r="A83" s="3440"/>
      <c r="B83" s="21" t="s">
        <v>10</v>
      </c>
      <c r="C83" s="2278"/>
      <c r="D83" s="498">
        <f>+D84+D86</f>
        <v>44438</v>
      </c>
      <c r="E83" s="498">
        <f t="shared" ref="E83" si="59">+E84+E86</f>
        <v>38038</v>
      </c>
      <c r="F83" s="498">
        <f>+F84+F86</f>
        <v>6400</v>
      </c>
      <c r="G83" s="498">
        <f>+G84+G86</f>
        <v>0</v>
      </c>
      <c r="H83" s="498">
        <f>+H84+H86</f>
        <v>0</v>
      </c>
      <c r="I83" s="498">
        <f>+I84+I86</f>
        <v>0</v>
      </c>
      <c r="J83" s="498"/>
      <c r="K83" s="498"/>
      <c r="L83" s="498"/>
      <c r="M83" s="2084">
        <f>M84+M86</f>
        <v>6400</v>
      </c>
      <c r="N83" s="3487"/>
    </row>
    <row r="84" spans="1:15" s="3010" customFormat="1" ht="12" customHeight="1">
      <c r="A84" s="3440"/>
      <c r="B84" s="189" t="s">
        <v>24</v>
      </c>
      <c r="C84" s="3507" t="s">
        <v>228</v>
      </c>
      <c r="D84" s="499">
        <f>+D85</f>
        <v>6666</v>
      </c>
      <c r="E84" s="499">
        <f t="shared" ref="E84:I84" si="60">+E85</f>
        <v>5706</v>
      </c>
      <c r="F84" s="499">
        <f t="shared" si="60"/>
        <v>960</v>
      </c>
      <c r="G84" s="499">
        <f t="shared" si="60"/>
        <v>0</v>
      </c>
      <c r="H84" s="499">
        <f t="shared" si="60"/>
        <v>0</v>
      </c>
      <c r="I84" s="499">
        <f t="shared" si="60"/>
        <v>0</v>
      </c>
      <c r="J84" s="499"/>
      <c r="K84" s="499"/>
      <c r="L84" s="499"/>
      <c r="M84" s="2085">
        <f>+M85</f>
        <v>960</v>
      </c>
      <c r="N84" s="3487"/>
    </row>
    <row r="85" spans="1:15" s="3010" customFormat="1" ht="12" customHeight="1">
      <c r="A85" s="3440"/>
      <c r="B85" s="190" t="s">
        <v>13</v>
      </c>
      <c r="C85" s="3388"/>
      <c r="D85" s="280">
        <f>E85+F85+G85+H85+I85+J85+K85+L85</f>
        <v>6666</v>
      </c>
      <c r="E85" s="2071">
        <v>5706</v>
      </c>
      <c r="F85" s="191">
        <v>960</v>
      </c>
      <c r="G85" s="191">
        <v>0</v>
      </c>
      <c r="H85" s="191">
        <v>0</v>
      </c>
      <c r="I85" s="191">
        <v>0</v>
      </c>
      <c r="J85" s="191"/>
      <c r="K85" s="191"/>
      <c r="L85" s="191"/>
      <c r="M85" s="958">
        <f>SUM(F85:L85)</f>
        <v>960</v>
      </c>
      <c r="N85" s="3487"/>
    </row>
    <row r="86" spans="1:15" s="3010" customFormat="1" ht="12" customHeight="1">
      <c r="A86" s="3440"/>
      <c r="B86" s="92" t="s">
        <v>18</v>
      </c>
      <c r="C86" s="3388"/>
      <c r="D86" s="500">
        <f>D87</f>
        <v>37772</v>
      </c>
      <c r="E86" s="500">
        <f t="shared" ref="E86:I86" si="61">E87</f>
        <v>32332</v>
      </c>
      <c r="F86" s="500">
        <f t="shared" si="61"/>
        <v>5440</v>
      </c>
      <c r="G86" s="500">
        <f t="shared" si="61"/>
        <v>0</v>
      </c>
      <c r="H86" s="500">
        <f t="shared" si="61"/>
        <v>0</v>
      </c>
      <c r="I86" s="500">
        <f t="shared" si="61"/>
        <v>0</v>
      </c>
      <c r="J86" s="500"/>
      <c r="K86" s="500"/>
      <c r="L86" s="500"/>
      <c r="M86" s="2085">
        <f>+M87</f>
        <v>5440</v>
      </c>
      <c r="N86" s="3487"/>
    </row>
    <row r="87" spans="1:15" s="3010" customFormat="1" ht="12" customHeight="1">
      <c r="A87" s="3440"/>
      <c r="B87" s="2279" t="s">
        <v>21</v>
      </c>
      <c r="C87" s="3377"/>
      <c r="D87" s="280">
        <f>E87+F87+G87+H87+I87+J87+K87+L87</f>
        <v>37772</v>
      </c>
      <c r="E87" s="2071">
        <v>32332</v>
      </c>
      <c r="F87" s="151">
        <v>5440</v>
      </c>
      <c r="G87" s="151">
        <v>0</v>
      </c>
      <c r="H87" s="151">
        <v>0</v>
      </c>
      <c r="I87" s="151">
        <v>0</v>
      </c>
      <c r="J87" s="151"/>
      <c r="K87" s="151"/>
      <c r="L87" s="151"/>
      <c r="M87" s="958">
        <f>SUM(F87:L87)</f>
        <v>5440</v>
      </c>
      <c r="N87" s="3487"/>
    </row>
    <row r="88" spans="1:15" s="3010" customFormat="1" ht="12" customHeight="1">
      <c r="A88" s="3135"/>
      <c r="B88" s="21" t="s">
        <v>22</v>
      </c>
      <c r="C88" s="2280"/>
      <c r="D88" s="498">
        <f>D89+D91</f>
        <v>44438</v>
      </c>
      <c r="E88" s="498">
        <f t="shared" ref="E88" si="62">E89+E91</f>
        <v>38038</v>
      </c>
      <c r="F88" s="498">
        <f>F89+F91</f>
        <v>6400</v>
      </c>
      <c r="G88" s="498">
        <f>G89+G91</f>
        <v>0</v>
      </c>
      <c r="H88" s="498">
        <f>H89+H91</f>
        <v>0</v>
      </c>
      <c r="I88" s="498">
        <f>I89+I91</f>
        <v>0</v>
      </c>
      <c r="J88" s="498"/>
      <c r="K88" s="498"/>
      <c r="L88" s="498"/>
      <c r="M88" s="3499" t="s">
        <v>61</v>
      </c>
      <c r="N88" s="3487"/>
    </row>
    <row r="89" spans="1:15" s="3010" customFormat="1" ht="12" customHeight="1">
      <c r="A89" s="3135"/>
      <c r="B89" s="2281" t="s">
        <v>24</v>
      </c>
      <c r="C89" s="3507" t="s">
        <v>228</v>
      </c>
      <c r="D89" s="499">
        <f>D90</f>
        <v>6666</v>
      </c>
      <c r="E89" s="499">
        <f t="shared" ref="E89:I89" si="63">E90</f>
        <v>5706</v>
      </c>
      <c r="F89" s="499">
        <f t="shared" si="63"/>
        <v>960</v>
      </c>
      <c r="G89" s="499">
        <f t="shared" si="63"/>
        <v>0</v>
      </c>
      <c r="H89" s="499">
        <f t="shared" si="63"/>
        <v>0</v>
      </c>
      <c r="I89" s="499">
        <f t="shared" si="63"/>
        <v>0</v>
      </c>
      <c r="J89" s="499"/>
      <c r="K89" s="499"/>
      <c r="L89" s="499"/>
      <c r="M89" s="3456"/>
      <c r="N89" s="3487"/>
    </row>
    <row r="90" spans="1:15" s="3010" customFormat="1" ht="12" customHeight="1">
      <c r="A90" s="3135"/>
      <c r="B90" s="194" t="s">
        <v>13</v>
      </c>
      <c r="C90" s="3388"/>
      <c r="D90" s="280">
        <f>E90+F90+G90+H90+I90+J90+K90+L90</f>
        <v>6666</v>
      </c>
      <c r="E90" s="2071">
        <v>5706</v>
      </c>
      <c r="F90" s="480">
        <v>960</v>
      </c>
      <c r="G90" s="480">
        <v>0</v>
      </c>
      <c r="H90" s="258">
        <v>0</v>
      </c>
      <c r="I90" s="258">
        <v>0</v>
      </c>
      <c r="J90" s="258"/>
      <c r="K90" s="258"/>
      <c r="L90" s="258"/>
      <c r="M90" s="3456"/>
      <c r="N90" s="3487"/>
    </row>
    <row r="91" spans="1:15" s="3010" customFormat="1" ht="12" customHeight="1">
      <c r="A91" s="3135"/>
      <c r="B91" s="2282" t="s">
        <v>18</v>
      </c>
      <c r="C91" s="3388"/>
      <c r="D91" s="500">
        <f>D92</f>
        <v>37772</v>
      </c>
      <c r="E91" s="500">
        <f t="shared" ref="E91:I91" si="64">E92</f>
        <v>32332</v>
      </c>
      <c r="F91" s="500">
        <f t="shared" si="64"/>
        <v>5440</v>
      </c>
      <c r="G91" s="500">
        <f t="shared" si="64"/>
        <v>0</v>
      </c>
      <c r="H91" s="500">
        <f t="shared" si="64"/>
        <v>0</v>
      </c>
      <c r="I91" s="500">
        <f t="shared" si="64"/>
        <v>0</v>
      </c>
      <c r="J91" s="500"/>
      <c r="K91" s="500"/>
      <c r="L91" s="500"/>
      <c r="M91" s="3456"/>
      <c r="N91" s="3487"/>
    </row>
    <row r="92" spans="1:15" s="3010" customFormat="1" ht="12" customHeight="1" thickBot="1">
      <c r="A92" s="3136"/>
      <c r="B92" s="411" t="s">
        <v>21</v>
      </c>
      <c r="C92" s="3381"/>
      <c r="D92" s="280">
        <f>E92+F92+G92+H92+I92+J92+K92+L92</f>
        <v>37772</v>
      </c>
      <c r="E92" s="2071">
        <v>32332</v>
      </c>
      <c r="F92" s="195">
        <v>5440</v>
      </c>
      <c r="G92" s="195">
        <v>0</v>
      </c>
      <c r="H92" s="129">
        <v>0</v>
      </c>
      <c r="I92" s="129">
        <v>0</v>
      </c>
      <c r="J92" s="129"/>
      <c r="K92" s="129"/>
      <c r="L92" s="129"/>
      <c r="M92" s="3457"/>
      <c r="N92" s="3488"/>
    </row>
    <row r="93" spans="1:15" ht="28.5" hidden="1" customHeight="1">
      <c r="A93" s="3439" t="s">
        <v>66</v>
      </c>
      <c r="B93" s="187"/>
      <c r="C93" s="188" t="s">
        <v>111</v>
      </c>
      <c r="D93" s="206"/>
      <c r="E93" s="205"/>
      <c r="F93" s="205"/>
      <c r="G93" s="205"/>
      <c r="H93" s="205"/>
      <c r="I93" s="205"/>
      <c r="J93" s="205"/>
      <c r="K93" s="205"/>
      <c r="L93" s="292"/>
      <c r="M93" s="415"/>
      <c r="N93" s="3474" t="s">
        <v>112</v>
      </c>
      <c r="O93" s="374"/>
    </row>
    <row r="94" spans="1:15" ht="13.5" hidden="1" customHeight="1">
      <c r="A94" s="3440"/>
      <c r="B94" s="21" t="s">
        <v>10</v>
      </c>
      <c r="C94" s="196"/>
      <c r="D94" s="400">
        <f>D95+D97</f>
        <v>0</v>
      </c>
      <c r="E94" s="400">
        <v>0</v>
      </c>
      <c r="F94" s="400">
        <f t="shared" ref="F94" si="65">+F97+F95</f>
        <v>0</v>
      </c>
      <c r="G94" s="400">
        <f>+G97+G95</f>
        <v>0</v>
      </c>
      <c r="H94" s="400">
        <f>+H97+H95</f>
        <v>0</v>
      </c>
      <c r="I94" s="400">
        <f>+I97+I95</f>
        <v>0</v>
      </c>
      <c r="J94" s="400"/>
      <c r="K94" s="400"/>
      <c r="L94" s="400"/>
      <c r="M94" s="416">
        <f>+M97+M95</f>
        <v>0</v>
      </c>
      <c r="N94" s="3478"/>
      <c r="O94" s="374"/>
    </row>
    <row r="95" spans="1:15" ht="14.25" hidden="1" customHeight="1">
      <c r="A95" s="3440"/>
      <c r="B95" s="189" t="s">
        <v>24</v>
      </c>
      <c r="C95" s="3482" t="s">
        <v>155</v>
      </c>
      <c r="D95" s="517">
        <f t="shared" ref="D95" si="66">D96</f>
        <v>0</v>
      </c>
      <c r="E95" s="517">
        <v>0</v>
      </c>
      <c r="F95" s="517">
        <f t="shared" ref="F95:I95" si="67">+F96</f>
        <v>0</v>
      </c>
      <c r="G95" s="517">
        <f t="shared" si="67"/>
        <v>0</v>
      </c>
      <c r="H95" s="517">
        <f t="shared" si="67"/>
        <v>0</v>
      </c>
      <c r="I95" s="517">
        <f t="shared" si="67"/>
        <v>0</v>
      </c>
      <c r="J95" s="517"/>
      <c r="K95" s="517"/>
      <c r="L95" s="517"/>
      <c r="M95" s="518">
        <f>+M96</f>
        <v>0</v>
      </c>
      <c r="N95" s="3478"/>
    </row>
    <row r="96" spans="1:15" ht="13.5" hidden="1" thickBot="1">
      <c r="A96" s="3440"/>
      <c r="B96" s="519" t="s">
        <v>13</v>
      </c>
      <c r="C96" s="3388"/>
      <c r="D96" s="280">
        <v>0</v>
      </c>
      <c r="E96" s="321">
        <v>0</v>
      </c>
      <c r="F96" s="152">
        <v>0</v>
      </c>
      <c r="G96" s="152">
        <v>0</v>
      </c>
      <c r="H96" s="152">
        <v>0</v>
      </c>
      <c r="I96" s="152">
        <v>0</v>
      </c>
      <c r="J96" s="152"/>
      <c r="K96" s="152"/>
      <c r="L96" s="152"/>
      <c r="M96" s="958">
        <f>SUM(F96:L96)</f>
        <v>0</v>
      </c>
      <c r="N96" s="3478"/>
      <c r="O96" s="366"/>
    </row>
    <row r="97" spans="1:15" ht="12.75" hidden="1" customHeight="1">
      <c r="A97" s="3440"/>
      <c r="B97" s="92" t="s">
        <v>18</v>
      </c>
      <c r="C97" s="3388"/>
      <c r="D97" s="407">
        <f t="shared" ref="D97:M97" si="68">+D98</f>
        <v>0</v>
      </c>
      <c r="E97" s="407">
        <v>0</v>
      </c>
      <c r="F97" s="414">
        <f t="shared" si="68"/>
        <v>0</v>
      </c>
      <c r="G97" s="414">
        <f t="shared" si="68"/>
        <v>0</v>
      </c>
      <c r="H97" s="414">
        <f t="shared" si="68"/>
        <v>0</v>
      </c>
      <c r="I97" s="414">
        <f t="shared" si="68"/>
        <v>0</v>
      </c>
      <c r="J97" s="414"/>
      <c r="K97" s="414"/>
      <c r="L97" s="414"/>
      <c r="M97" s="416">
        <f t="shared" si="68"/>
        <v>0</v>
      </c>
      <c r="N97" s="3478"/>
    </row>
    <row r="98" spans="1:15" ht="13.5" hidden="1" thickBot="1">
      <c r="A98" s="3440"/>
      <c r="B98" s="520" t="s">
        <v>21</v>
      </c>
      <c r="C98" s="3377"/>
      <c r="D98" s="280">
        <v>0</v>
      </c>
      <c r="E98" s="321">
        <v>0</v>
      </c>
      <c r="F98" s="191">
        <v>0</v>
      </c>
      <c r="G98" s="191">
        <v>0</v>
      </c>
      <c r="H98" s="191">
        <v>0</v>
      </c>
      <c r="I98" s="191">
        <v>0</v>
      </c>
      <c r="J98" s="191"/>
      <c r="K98" s="191"/>
      <c r="L98" s="191"/>
      <c r="M98" s="958">
        <f>SUM(F98:L98)</f>
        <v>0</v>
      </c>
      <c r="N98" s="3478"/>
      <c r="O98" s="366"/>
    </row>
    <row r="99" spans="1:15" ht="12.75" hidden="1" customHeight="1">
      <c r="A99" s="3135"/>
      <c r="B99" s="91" t="s">
        <v>22</v>
      </c>
      <c r="C99" s="197"/>
      <c r="D99" s="210">
        <f>D100+D102</f>
        <v>0</v>
      </c>
      <c r="E99" s="400">
        <v>0</v>
      </c>
      <c r="F99" s="400">
        <f t="shared" ref="F99" si="69">+F102+F100</f>
        <v>0</v>
      </c>
      <c r="G99" s="400">
        <f>+G102+G100</f>
        <v>0</v>
      </c>
      <c r="H99" s="400">
        <f>+H102+H100</f>
        <v>0</v>
      </c>
      <c r="I99" s="400">
        <f>+I102+I100</f>
        <v>0</v>
      </c>
      <c r="J99" s="400"/>
      <c r="K99" s="400"/>
      <c r="L99" s="400"/>
      <c r="M99" s="3481" t="s">
        <v>61</v>
      </c>
      <c r="N99" s="3478"/>
    </row>
    <row r="100" spans="1:15" ht="14.25" hidden="1" customHeight="1">
      <c r="A100" s="3135"/>
      <c r="B100" s="189" t="s">
        <v>24</v>
      </c>
      <c r="C100" s="3482" t="s">
        <v>155</v>
      </c>
      <c r="D100" s="521">
        <f t="shared" ref="D100" si="70">D101</f>
        <v>0</v>
      </c>
      <c r="E100" s="517">
        <v>0</v>
      </c>
      <c r="F100" s="517">
        <f t="shared" ref="F100:I100" si="71">+F101</f>
        <v>0</v>
      </c>
      <c r="G100" s="517">
        <f t="shared" si="71"/>
        <v>0</v>
      </c>
      <c r="H100" s="517">
        <f t="shared" si="71"/>
        <v>0</v>
      </c>
      <c r="I100" s="517">
        <f t="shared" si="71"/>
        <v>0</v>
      </c>
      <c r="J100" s="517"/>
      <c r="K100" s="517"/>
      <c r="L100" s="517"/>
      <c r="M100" s="3456"/>
      <c r="N100" s="3478"/>
    </row>
    <row r="101" spans="1:15" ht="13.5" hidden="1" thickBot="1">
      <c r="A101" s="3135"/>
      <c r="B101" s="519" t="s">
        <v>13</v>
      </c>
      <c r="C101" s="3388"/>
      <c r="D101" s="280">
        <v>0</v>
      </c>
      <c r="E101" s="321">
        <v>0</v>
      </c>
      <c r="F101" s="152">
        <v>0</v>
      </c>
      <c r="G101" s="152">
        <v>0</v>
      </c>
      <c r="H101" s="152">
        <v>0</v>
      </c>
      <c r="I101" s="152">
        <v>0</v>
      </c>
      <c r="J101" s="152"/>
      <c r="K101" s="152"/>
      <c r="L101" s="152"/>
      <c r="M101" s="3456"/>
      <c r="N101" s="3478"/>
    </row>
    <row r="102" spans="1:15" ht="12.75" hidden="1" customHeight="1">
      <c r="A102" s="3135"/>
      <c r="B102" s="421" t="s">
        <v>18</v>
      </c>
      <c r="C102" s="3388"/>
      <c r="D102" s="407">
        <f t="shared" ref="D102:I102" si="72">+D103</f>
        <v>0</v>
      </c>
      <c r="E102" s="407">
        <v>0</v>
      </c>
      <c r="F102" s="414">
        <f t="shared" si="72"/>
        <v>0</v>
      </c>
      <c r="G102" s="414">
        <f>+G103</f>
        <v>0</v>
      </c>
      <c r="H102" s="414">
        <f t="shared" si="72"/>
        <v>0</v>
      </c>
      <c r="I102" s="414">
        <f t="shared" si="72"/>
        <v>0</v>
      </c>
      <c r="J102" s="414"/>
      <c r="K102" s="414"/>
      <c r="L102" s="414"/>
      <c r="M102" s="3456"/>
      <c r="N102" s="3478"/>
    </row>
    <row r="103" spans="1:15" ht="12.75" hidden="1" customHeight="1" thickBot="1">
      <c r="A103" s="3136"/>
      <c r="B103" s="411" t="s">
        <v>21</v>
      </c>
      <c r="C103" s="3381"/>
      <c r="D103" s="280">
        <v>0</v>
      </c>
      <c r="E103" s="321">
        <v>0</v>
      </c>
      <c r="F103" s="198">
        <v>0</v>
      </c>
      <c r="G103" s="198">
        <v>0</v>
      </c>
      <c r="H103" s="198">
        <v>0</v>
      </c>
      <c r="I103" s="198">
        <v>0</v>
      </c>
      <c r="J103" s="198"/>
      <c r="K103" s="198"/>
      <c r="L103" s="198"/>
      <c r="M103" s="3457"/>
      <c r="N103" s="3479"/>
    </row>
    <row r="104" spans="1:15" s="393" customFormat="1" ht="39.75" hidden="1" customHeight="1">
      <c r="A104" s="3439" t="s">
        <v>67</v>
      </c>
      <c r="B104" s="187" t="s">
        <v>161</v>
      </c>
      <c r="C104" s="188" t="s">
        <v>81</v>
      </c>
      <c r="D104" s="206"/>
      <c r="E104" s="205"/>
      <c r="F104" s="205"/>
      <c r="G104" s="205"/>
      <c r="H104" s="205"/>
      <c r="I104" s="205"/>
      <c r="J104" s="205"/>
      <c r="K104" s="205"/>
      <c r="L104" s="292"/>
      <c r="M104" s="415"/>
      <c r="N104" s="3486" t="s">
        <v>369</v>
      </c>
    </row>
    <row r="105" spans="1:15" s="393" customFormat="1" ht="14.25" hidden="1" customHeight="1">
      <c r="A105" s="3440"/>
      <c r="B105" s="21" t="s">
        <v>10</v>
      </c>
      <c r="C105" s="196"/>
      <c r="D105" s="400"/>
      <c r="E105" s="400"/>
      <c r="F105" s="400"/>
      <c r="G105" s="400"/>
      <c r="H105" s="400"/>
      <c r="I105" s="400"/>
      <c r="J105" s="400"/>
      <c r="K105" s="400"/>
      <c r="L105" s="400"/>
      <c r="M105" s="401">
        <f>+M106+M108</f>
        <v>0</v>
      </c>
      <c r="N105" s="3487"/>
      <c r="O105" s="374"/>
    </row>
    <row r="106" spans="1:15" s="424" customFormat="1" ht="13.5" hidden="1" customHeight="1">
      <c r="A106" s="3440"/>
      <c r="B106" s="189" t="s">
        <v>24</v>
      </c>
      <c r="C106" s="3489" t="s">
        <v>162</v>
      </c>
      <c r="D106" s="422"/>
      <c r="E106" s="422"/>
      <c r="F106" s="422"/>
      <c r="G106" s="422"/>
      <c r="H106" s="422"/>
      <c r="I106" s="422"/>
      <c r="J106" s="422"/>
      <c r="K106" s="422"/>
      <c r="L106" s="422"/>
      <c r="M106" s="423">
        <f t="shared" ref="M106" si="73">+M107</f>
        <v>0</v>
      </c>
      <c r="N106" s="3487"/>
    </row>
    <row r="107" spans="1:15" s="393" customFormat="1" ht="13.5" hidden="1" customHeight="1">
      <c r="A107" s="3440"/>
      <c r="B107" s="190" t="s">
        <v>12</v>
      </c>
      <c r="C107" s="3388"/>
      <c r="D107" s="417"/>
      <c r="E107" s="406"/>
      <c r="F107" s="425"/>
      <c r="G107" s="425"/>
      <c r="H107" s="425"/>
      <c r="I107" s="425"/>
      <c r="J107" s="425"/>
      <c r="K107" s="425"/>
      <c r="L107" s="425"/>
      <c r="M107" s="384">
        <f>SUM(F107:I107)</f>
        <v>0</v>
      </c>
      <c r="N107" s="3487"/>
    </row>
    <row r="108" spans="1:15" s="393" customFormat="1" ht="11.25" hidden="1" customHeight="1">
      <c r="A108" s="3440"/>
      <c r="B108" s="92" t="s">
        <v>18</v>
      </c>
      <c r="C108" s="3388"/>
      <c r="D108" s="407"/>
      <c r="E108" s="407"/>
      <c r="F108" s="407"/>
      <c r="G108" s="407"/>
      <c r="H108" s="407"/>
      <c r="I108" s="407"/>
      <c r="J108" s="426"/>
      <c r="K108" s="426"/>
      <c r="L108" s="426"/>
      <c r="M108" s="427">
        <f t="shared" ref="M108" si="74">+M109</f>
        <v>0</v>
      </c>
      <c r="N108" s="3487"/>
    </row>
    <row r="109" spans="1:15" s="3010" customFormat="1" ht="12" hidden="1" customHeight="1">
      <c r="A109" s="3440"/>
      <c r="B109" s="408" t="s">
        <v>21</v>
      </c>
      <c r="C109" s="3377"/>
      <c r="D109" s="417"/>
      <c r="E109" s="406"/>
      <c r="F109" s="151"/>
      <c r="G109" s="151"/>
      <c r="H109" s="151"/>
      <c r="I109" s="151"/>
      <c r="J109" s="151"/>
      <c r="K109" s="151"/>
      <c r="L109" s="151"/>
      <c r="M109" s="384">
        <f>SUM(F109:I109)</f>
        <v>0</v>
      </c>
      <c r="N109" s="3487"/>
    </row>
    <row r="110" spans="1:15" s="3010" customFormat="1" ht="14.25" hidden="1" customHeight="1">
      <c r="A110" s="3135"/>
      <c r="B110" s="21" t="s">
        <v>22</v>
      </c>
      <c r="C110" s="192"/>
      <c r="D110" s="400"/>
      <c r="E110" s="400"/>
      <c r="F110" s="400"/>
      <c r="G110" s="400"/>
      <c r="H110" s="400"/>
      <c r="I110" s="400"/>
      <c r="J110" s="400"/>
      <c r="K110" s="400"/>
      <c r="L110" s="400"/>
      <c r="M110" s="3481" t="s">
        <v>61</v>
      </c>
      <c r="N110" s="3487"/>
    </row>
    <row r="111" spans="1:15" s="3010" customFormat="1" ht="13.5" hidden="1" customHeight="1">
      <c r="A111" s="3135"/>
      <c r="B111" s="421" t="s">
        <v>18</v>
      </c>
      <c r="C111" s="3388"/>
      <c r="D111" s="407"/>
      <c r="E111" s="407"/>
      <c r="F111" s="407"/>
      <c r="G111" s="407"/>
      <c r="H111" s="407"/>
      <c r="I111" s="407"/>
      <c r="J111" s="407"/>
      <c r="K111" s="407"/>
      <c r="L111" s="407"/>
      <c r="M111" s="3456"/>
      <c r="N111" s="3487"/>
    </row>
    <row r="112" spans="1:15" s="3010" customFormat="1" ht="14.25" hidden="1" customHeight="1" thickBot="1">
      <c r="A112" s="3136"/>
      <c r="B112" s="411" t="s">
        <v>21</v>
      </c>
      <c r="C112" s="3381"/>
      <c r="D112" s="417"/>
      <c r="E112" s="406"/>
      <c r="F112" s="195"/>
      <c r="G112" s="195"/>
      <c r="H112" s="129"/>
      <c r="I112" s="129"/>
      <c r="J112" s="129"/>
      <c r="K112" s="129"/>
      <c r="L112" s="129"/>
      <c r="M112" s="3457"/>
      <c r="N112" s="3488"/>
    </row>
    <row r="113" spans="1:19" s="393" customFormat="1" ht="22.5">
      <c r="A113" s="3439" t="s">
        <v>117</v>
      </c>
      <c r="B113" s="187" t="s">
        <v>291</v>
      </c>
      <c r="C113" s="188" t="s">
        <v>111</v>
      </c>
      <c r="D113" s="464"/>
      <c r="E113" s="464"/>
      <c r="F113" s="464"/>
      <c r="G113" s="464"/>
      <c r="H113" s="464"/>
      <c r="I113" s="464"/>
      <c r="J113" s="464"/>
      <c r="K113" s="464"/>
      <c r="L113" s="464"/>
      <c r="M113" s="464"/>
      <c r="N113" s="3477" t="s">
        <v>459</v>
      </c>
      <c r="O113" s="1988" t="s">
        <v>466</v>
      </c>
      <c r="P113" s="1989" t="s">
        <v>467</v>
      </c>
      <c r="Q113" s="398"/>
    </row>
    <row r="114" spans="1:19" s="393" customFormat="1" ht="15.75" customHeight="1">
      <c r="A114" s="3440"/>
      <c r="B114" s="826" t="s">
        <v>10</v>
      </c>
      <c r="C114" s="2892"/>
      <c r="D114" s="2893">
        <f>+D125+D115</f>
        <v>219191165</v>
      </c>
      <c r="E114" s="2893">
        <f t="shared" ref="E114" si="75">+E125+E115</f>
        <v>24338842</v>
      </c>
      <c r="F114" s="2893">
        <f t="shared" ref="F114:I114" si="76">+F125+F115</f>
        <v>30578855</v>
      </c>
      <c r="G114" s="2893">
        <f t="shared" si="76"/>
        <v>31713995</v>
      </c>
      <c r="H114" s="2893">
        <f t="shared" si="76"/>
        <v>27809769</v>
      </c>
      <c r="I114" s="2893">
        <f t="shared" si="76"/>
        <v>26797086</v>
      </c>
      <c r="J114" s="2893">
        <f>+J125+J115</f>
        <v>27051278</v>
      </c>
      <c r="K114" s="2893">
        <f>+K125+K115</f>
        <v>25545887</v>
      </c>
      <c r="L114" s="2893">
        <f>+L125+L115</f>
        <v>25355453</v>
      </c>
      <c r="M114" s="2894">
        <f>+M125+M115</f>
        <v>194093625</v>
      </c>
      <c r="N114" s="3478"/>
      <c r="O114" s="1991">
        <f>+O115+O125</f>
        <v>24456849</v>
      </c>
      <c r="P114" s="1991"/>
    </row>
    <row r="115" spans="1:19" s="381" customFormat="1" ht="15.75" customHeight="1">
      <c r="A115" s="3440"/>
      <c r="B115" s="783" t="s">
        <v>24</v>
      </c>
      <c r="C115" s="3485" t="s">
        <v>457</v>
      </c>
      <c r="D115" s="2895">
        <f>D116+D122</f>
        <v>35856764</v>
      </c>
      <c r="E115" s="2895">
        <f t="shared" ref="E115" si="77">E116+E122</f>
        <v>4452085</v>
      </c>
      <c r="F115" s="2895">
        <f t="shared" ref="F115:I115" si="78">F116+F122</f>
        <v>5238040</v>
      </c>
      <c r="G115" s="2895">
        <f t="shared" si="78"/>
        <v>5252020</v>
      </c>
      <c r="H115" s="2895">
        <f t="shared" si="78"/>
        <v>4876702</v>
      </c>
      <c r="I115" s="2895">
        <f t="shared" si="78"/>
        <v>4972815</v>
      </c>
      <c r="J115" s="2895">
        <f>J116+J122</f>
        <v>4898600</v>
      </c>
      <c r="K115" s="2895">
        <f>K116+K122</f>
        <v>3052528</v>
      </c>
      <c r="L115" s="2895">
        <f>L116+L122</f>
        <v>3113974</v>
      </c>
      <c r="M115" s="2896">
        <f>M116+M122</f>
        <v>30645981</v>
      </c>
      <c r="N115" s="3478"/>
      <c r="O115" s="1993">
        <f>+O116+O122</f>
        <v>2983757</v>
      </c>
      <c r="P115" s="1993"/>
    </row>
    <row r="116" spans="1:19" s="393" customFormat="1" ht="12.75" customHeight="1">
      <c r="A116" s="3440"/>
      <c r="B116" s="190" t="s">
        <v>12</v>
      </c>
      <c r="C116" s="3388"/>
      <c r="D116" s="2819">
        <f t="shared" ref="D116:D124" si="79">E116+F116+G116+H116+I116+J116+K116+L116</f>
        <v>34742063</v>
      </c>
      <c r="E116" s="2897">
        <f t="shared" ref="E116:M116" si="80">+E118+E119+E120+E121</f>
        <v>4096082</v>
      </c>
      <c r="F116" s="2897">
        <f t="shared" si="80"/>
        <v>4895803</v>
      </c>
      <c r="G116" s="2897">
        <f t="shared" si="80"/>
        <v>5159196</v>
      </c>
      <c r="H116" s="2897">
        <f t="shared" si="80"/>
        <v>4809139</v>
      </c>
      <c r="I116" s="2897">
        <f t="shared" si="80"/>
        <v>4908796</v>
      </c>
      <c r="J116" s="2897">
        <f t="shared" si="80"/>
        <v>4834581</v>
      </c>
      <c r="K116" s="2897">
        <f t="shared" si="80"/>
        <v>2988510</v>
      </c>
      <c r="L116" s="2897">
        <f t="shared" si="80"/>
        <v>3049956</v>
      </c>
      <c r="M116" s="2880">
        <f t="shared" si="80"/>
        <v>30645981</v>
      </c>
      <c r="N116" s="3478"/>
      <c r="O116" s="1990">
        <v>2627754</v>
      </c>
      <c r="P116" s="1990"/>
    </row>
    <row r="117" spans="1:19" s="393" customFormat="1" ht="12.75" hidden="1" customHeight="1">
      <c r="A117" s="3440"/>
      <c r="B117" s="2074" t="s">
        <v>156</v>
      </c>
      <c r="C117" s="3388"/>
      <c r="D117" s="2819">
        <f t="shared" si="79"/>
        <v>0</v>
      </c>
      <c r="E117" s="2898"/>
      <c r="F117" s="2898"/>
      <c r="G117" s="2898"/>
      <c r="H117" s="2898"/>
      <c r="I117" s="2898"/>
      <c r="J117" s="2898"/>
      <c r="K117" s="2898"/>
      <c r="L117" s="2898"/>
      <c r="M117" s="2899"/>
      <c r="N117" s="3478"/>
      <c r="O117" s="1990"/>
      <c r="P117" s="1990"/>
    </row>
    <row r="118" spans="1:19" s="393" customFormat="1" ht="12.75" hidden="1" customHeight="1">
      <c r="A118" s="3440"/>
      <c r="B118" s="522" t="s">
        <v>157</v>
      </c>
      <c r="C118" s="3388"/>
      <c r="D118" s="2819">
        <f t="shared" si="79"/>
        <v>5259592</v>
      </c>
      <c r="E118" s="2900">
        <v>2627754</v>
      </c>
      <c r="F118" s="2900">
        <f>9433+186725+10304+744248+897699+783429</f>
        <v>2631838</v>
      </c>
      <c r="G118" s="2900"/>
      <c r="H118" s="2900"/>
      <c r="I118" s="2900">
        <f>152659-152659</f>
        <v>0</v>
      </c>
      <c r="J118" s="2900"/>
      <c r="K118" s="2900"/>
      <c r="L118" s="2900"/>
      <c r="M118" s="2901">
        <f>+F118+G118+H118+I118</f>
        <v>2631838</v>
      </c>
      <c r="N118" s="3478"/>
      <c r="O118" s="1990"/>
      <c r="P118" s="1990"/>
    </row>
    <row r="119" spans="1:19" s="393" customFormat="1" ht="12.75" hidden="1" customHeight="1">
      <c r="A119" s="3440"/>
      <c r="B119" s="2199" t="s">
        <v>158</v>
      </c>
      <c r="C119" s="3388"/>
      <c r="D119" s="2819">
        <f t="shared" si="79"/>
        <v>0</v>
      </c>
      <c r="E119" s="2902"/>
      <c r="F119" s="2902"/>
      <c r="G119" s="2902"/>
      <c r="H119" s="2902"/>
      <c r="I119" s="2902"/>
      <c r="J119" s="2902"/>
      <c r="K119" s="2902"/>
      <c r="L119" s="2902"/>
      <c r="M119" s="2901">
        <f>+F119+G119+H119+I119</f>
        <v>0</v>
      </c>
      <c r="N119" s="3478"/>
      <c r="O119" s="1990"/>
      <c r="P119" s="1990"/>
    </row>
    <row r="120" spans="1:19" s="393" customFormat="1" ht="12.75" hidden="1" customHeight="1">
      <c r="A120" s="3440"/>
      <c r="B120" s="2202" t="s">
        <v>159</v>
      </c>
      <c r="C120" s="3388"/>
      <c r="D120" s="2819">
        <f t="shared" si="79"/>
        <v>29482471</v>
      </c>
      <c r="E120" s="2903">
        <f>12575+1455753</f>
        <v>1468328</v>
      </c>
      <c r="F120" s="3047">
        <f>868747+1301922+95728+2022114+18844+588448-9433-186725-10304-744248-897699-783429</f>
        <v>2263965</v>
      </c>
      <c r="G120" s="1858">
        <f>886122+1327960+97643+2062557+784914</f>
        <v>5159196</v>
      </c>
      <c r="H120" s="1858">
        <f>903845+1354520+99595+2103807+347372</f>
        <v>4809139</v>
      </c>
      <c r="I120" s="1858">
        <f>921922+1381610+101587+2145884+357793</f>
        <v>4908796</v>
      </c>
      <c r="J120" s="1858">
        <f>4642023+192558</f>
        <v>4834581</v>
      </c>
      <c r="K120" s="1858">
        <f>2551196+450141-14983+2156</f>
        <v>2988510</v>
      </c>
      <c r="L120" s="1858">
        <f>2645893+416877-14984+2157+13</f>
        <v>3049956</v>
      </c>
      <c r="M120" s="2904">
        <f>+F120+G120+H120+I120+J120+K120+L120</f>
        <v>28014143</v>
      </c>
      <c r="N120" s="3478"/>
      <c r="O120" s="1990"/>
      <c r="P120" s="1990"/>
    </row>
    <row r="121" spans="1:19" s="393" customFormat="1" ht="12.75" hidden="1" customHeight="1">
      <c r="A121" s="3440"/>
      <c r="B121" s="525" t="s">
        <v>160</v>
      </c>
      <c r="C121" s="3388"/>
      <c r="D121" s="2819">
        <f t="shared" si="79"/>
        <v>0</v>
      </c>
      <c r="E121" s="2905"/>
      <c r="F121" s="2905"/>
      <c r="G121" s="2905"/>
      <c r="H121" s="2905"/>
      <c r="I121" s="2905"/>
      <c r="J121" s="2905"/>
      <c r="K121" s="2905"/>
      <c r="L121" s="2905"/>
      <c r="M121" s="2901">
        <f>+F121+G121+H121+I121</f>
        <v>0</v>
      </c>
      <c r="N121" s="3478"/>
      <c r="O121" s="1990"/>
      <c r="P121" s="1990"/>
    </row>
    <row r="122" spans="1:19" s="393" customFormat="1">
      <c r="A122" s="3440"/>
      <c r="B122" s="2906" t="s">
        <v>32</v>
      </c>
      <c r="C122" s="3388"/>
      <c r="D122" s="2819">
        <f t="shared" si="79"/>
        <v>1114701</v>
      </c>
      <c r="E122" s="2897">
        <f t="shared" ref="E122:L122" si="81">SUM(E123:E124)</f>
        <v>356003</v>
      </c>
      <c r="F122" s="2897">
        <f t="shared" si="81"/>
        <v>342237</v>
      </c>
      <c r="G122" s="2897">
        <f t="shared" si="81"/>
        <v>92824</v>
      </c>
      <c r="H122" s="2897">
        <f t="shared" si="81"/>
        <v>67563</v>
      </c>
      <c r="I122" s="2897">
        <f t="shared" si="81"/>
        <v>64019</v>
      </c>
      <c r="J122" s="2897">
        <f t="shared" si="81"/>
        <v>64019</v>
      </c>
      <c r="K122" s="2897">
        <f t="shared" si="81"/>
        <v>64018</v>
      </c>
      <c r="L122" s="2897">
        <f t="shared" si="81"/>
        <v>64018</v>
      </c>
      <c r="M122" s="2907">
        <f>M123+M124</f>
        <v>0</v>
      </c>
      <c r="N122" s="3478"/>
      <c r="O122" s="1990">
        <v>356003</v>
      </c>
      <c r="P122" s="1990"/>
    </row>
    <row r="123" spans="1:19" s="393" customFormat="1" ht="12.75" hidden="1" customHeight="1">
      <c r="A123" s="3440"/>
      <c r="B123" s="2201" t="s">
        <v>278</v>
      </c>
      <c r="C123" s="3388"/>
      <c r="D123" s="2819">
        <f t="shared" si="79"/>
        <v>576047</v>
      </c>
      <c r="E123" s="2908">
        <v>51728</v>
      </c>
      <c r="F123" s="1859">
        <f>70632+15201+19134+6435-3544</f>
        <v>107858</v>
      </c>
      <c r="G123" s="1860">
        <f>70167+14504+8153</f>
        <v>92824</v>
      </c>
      <c r="H123" s="1860">
        <f>64019+3544</f>
        <v>67563</v>
      </c>
      <c r="I123" s="1860">
        <v>64019</v>
      </c>
      <c r="J123" s="1860">
        <v>64019</v>
      </c>
      <c r="K123" s="1860">
        <v>64018</v>
      </c>
      <c r="L123" s="1860">
        <v>64018</v>
      </c>
      <c r="M123" s="2909">
        <v>0</v>
      </c>
      <c r="N123" s="3478"/>
      <c r="O123" s="1990"/>
      <c r="P123" s="1990"/>
    </row>
    <row r="124" spans="1:19" s="393" customFormat="1" ht="12.75" hidden="1" customHeight="1">
      <c r="A124" s="3440"/>
      <c r="B124" s="2201" t="s">
        <v>279</v>
      </c>
      <c r="C124" s="3388"/>
      <c r="D124" s="2819">
        <f t="shared" si="79"/>
        <v>538654</v>
      </c>
      <c r="E124" s="2908">
        <v>304275</v>
      </c>
      <c r="F124" s="1859">
        <f>390656-525+1+195845-377239+29967-4313-13</f>
        <v>234379</v>
      </c>
      <c r="G124" s="1860">
        <f>441506+300-2-441804</f>
        <v>0</v>
      </c>
      <c r="H124" s="1860">
        <f>406479-406479</f>
        <v>0</v>
      </c>
      <c r="I124" s="1860">
        <f>406478-406478</f>
        <v>0</v>
      </c>
      <c r="J124" s="1860">
        <f>406478-406478</f>
        <v>0</v>
      </c>
      <c r="K124" s="1860">
        <f>406479-406479</f>
        <v>0</v>
      </c>
      <c r="L124" s="1860">
        <f>406479-406479</f>
        <v>0</v>
      </c>
      <c r="M124" s="2909">
        <v>0</v>
      </c>
      <c r="N124" s="3478"/>
      <c r="O124" s="1990"/>
      <c r="P124" s="1990"/>
    </row>
    <row r="125" spans="1:19" s="393" customFormat="1" ht="12.75" customHeight="1">
      <c r="A125" s="3440"/>
      <c r="B125" s="882" t="s">
        <v>18</v>
      </c>
      <c r="C125" s="3388"/>
      <c r="D125" s="2881">
        <f>+D126</f>
        <v>183334401</v>
      </c>
      <c r="E125" s="2881">
        <f>+E126</f>
        <v>19886757</v>
      </c>
      <c r="F125" s="2881">
        <f>+F126</f>
        <v>25340815</v>
      </c>
      <c r="G125" s="2910">
        <f t="shared" ref="G125:M125" si="82">+G126</f>
        <v>26461975</v>
      </c>
      <c r="H125" s="2910">
        <f t="shared" si="82"/>
        <v>22933067</v>
      </c>
      <c r="I125" s="2910">
        <f t="shared" si="82"/>
        <v>21824271</v>
      </c>
      <c r="J125" s="2910">
        <f t="shared" si="82"/>
        <v>22152678</v>
      </c>
      <c r="K125" s="2910">
        <f t="shared" si="82"/>
        <v>22493359</v>
      </c>
      <c r="L125" s="2910">
        <f t="shared" si="82"/>
        <v>22241479</v>
      </c>
      <c r="M125" s="2899">
        <f t="shared" si="82"/>
        <v>163447644</v>
      </c>
      <c r="N125" s="3478"/>
      <c r="O125" s="1993">
        <f>+O126</f>
        <v>21473092</v>
      </c>
      <c r="P125" s="1993"/>
    </row>
    <row r="126" spans="1:19" s="3010" customFormat="1" ht="13.5" thickBot="1">
      <c r="A126" s="3440"/>
      <c r="B126" s="2074" t="s">
        <v>21</v>
      </c>
      <c r="C126" s="3377"/>
      <c r="D126" s="2911">
        <f>E126+F126+G126+H126+I126+J126+K126+L126</f>
        <v>183334401</v>
      </c>
      <c r="E126" s="2897">
        <f>+E128+E129+E130+E131+E132+E133+E134</f>
        <v>19886757</v>
      </c>
      <c r="F126" s="2897">
        <f t="shared" ref="F126:L126" si="83">+F128+F129+F130+F131+F132+F133+F134</f>
        <v>25340815</v>
      </c>
      <c r="G126" s="2897">
        <f t="shared" si="83"/>
        <v>26461975</v>
      </c>
      <c r="H126" s="2897">
        <f t="shared" si="83"/>
        <v>22933067</v>
      </c>
      <c r="I126" s="2897">
        <f t="shared" si="83"/>
        <v>21824271</v>
      </c>
      <c r="J126" s="2897">
        <f t="shared" si="83"/>
        <v>22152678</v>
      </c>
      <c r="K126" s="2897">
        <f t="shared" si="83"/>
        <v>22493359</v>
      </c>
      <c r="L126" s="2897">
        <f t="shared" si="83"/>
        <v>22241479</v>
      </c>
      <c r="M126" s="2880">
        <f>+M128+M129+M130+M131+M132+M133+M134</f>
        <v>163447644</v>
      </c>
      <c r="N126" s="3478"/>
      <c r="O126" s="1990">
        <v>21473092</v>
      </c>
      <c r="P126" s="1990"/>
      <c r="S126" s="418"/>
    </row>
    <row r="127" spans="1:19" s="3010" customFormat="1" ht="24" hidden="1" customHeight="1">
      <c r="A127" s="3440"/>
      <c r="B127" s="2074" t="s">
        <v>156</v>
      </c>
      <c r="C127" s="2912"/>
      <c r="D127" s="2889"/>
      <c r="E127" s="2879"/>
      <c r="F127" s="2883"/>
      <c r="G127" s="2883"/>
      <c r="H127" s="2883"/>
      <c r="I127" s="2883"/>
      <c r="J127" s="2883"/>
      <c r="K127" s="2883"/>
      <c r="L127" s="2883"/>
      <c r="M127" s="2913"/>
      <c r="N127" s="3478"/>
      <c r="O127" s="1990"/>
      <c r="P127" s="1992"/>
      <c r="S127" s="200"/>
    </row>
    <row r="128" spans="1:19" s="3010" customFormat="1" ht="12.75" hidden="1" customHeight="1">
      <c r="A128" s="3440"/>
      <c r="B128" s="522" t="s">
        <v>157</v>
      </c>
      <c r="C128" s="431"/>
      <c r="D128" s="2819">
        <f t="shared" ref="D128:D134" si="84">E128+F128+G128+H128+I128+J128+K128+L128</f>
        <v>32282514</v>
      </c>
      <c r="E128" s="1861">
        <f>6418+10696707</f>
        <v>10703125</v>
      </c>
      <c r="F128" s="1843">
        <f>2407721+10000000-9866168-241553+53444+1058102+58380+2400014-50000+1938307+1976201</f>
        <v>9734448</v>
      </c>
      <c r="G128" s="1843">
        <f>2407721-107721+610000</f>
        <v>2910000</v>
      </c>
      <c r="H128" s="1843">
        <f>1820395+620000-140395</f>
        <v>2300000</v>
      </c>
      <c r="I128" s="1843">
        <f>1820395+865067-985462</f>
        <v>1700000</v>
      </c>
      <c r="J128" s="1843">
        <f>1820395-120395</f>
        <v>1700000</v>
      </c>
      <c r="K128" s="1843">
        <f>1820395-120395</f>
        <v>1700000</v>
      </c>
      <c r="L128" s="1843">
        <f>1820391-285524+74</f>
        <v>1534941</v>
      </c>
      <c r="M128" s="1862">
        <f t="shared" ref="M128:M134" si="85">+F128+G128+H128+I128+J128+K128+L128</f>
        <v>21579389</v>
      </c>
      <c r="N128" s="3478"/>
      <c r="O128" s="1990"/>
      <c r="P128" s="1994"/>
      <c r="S128" s="200"/>
    </row>
    <row r="129" spans="1:19" s="3010" customFormat="1" ht="12.75" hidden="1" customHeight="1">
      <c r="A129" s="3440"/>
      <c r="B129" s="2199" t="s">
        <v>158</v>
      </c>
      <c r="C129" s="2914"/>
      <c r="D129" s="2819">
        <f t="shared" si="84"/>
        <v>17062940</v>
      </c>
      <c r="E129" s="2902">
        <f>5406+2022679</f>
        <v>2028085</v>
      </c>
      <c r="F129" s="2902">
        <f>2618000+177406-295406+300000</f>
        <v>2800000</v>
      </c>
      <c r="G129" s="2902">
        <f>2618000-118000+599987</f>
        <v>3099987</v>
      </c>
      <c r="H129" s="2902">
        <f>1813339+841315-154654</f>
        <v>2500000</v>
      </c>
      <c r="I129" s="2902">
        <f>1813339-113339</f>
        <v>1700000</v>
      </c>
      <c r="J129" s="2902">
        <f>1813339-113339</f>
        <v>1700000</v>
      </c>
      <c r="K129" s="2902">
        <f>1813339-113339</f>
        <v>1700000</v>
      </c>
      <c r="L129" s="2902">
        <f>1813335-278467</f>
        <v>1534868</v>
      </c>
      <c r="M129" s="1862">
        <f t="shared" si="85"/>
        <v>15034855</v>
      </c>
      <c r="N129" s="3478"/>
      <c r="O129" s="1990"/>
      <c r="P129" s="1987"/>
      <c r="S129" s="200"/>
    </row>
    <row r="130" spans="1:19" s="419" customFormat="1" ht="12.75" hidden="1" customHeight="1">
      <c r="A130" s="3440"/>
      <c r="B130" s="2202" t="s">
        <v>159</v>
      </c>
      <c r="C130" s="2915"/>
      <c r="D130" s="2819">
        <f t="shared" si="84"/>
        <v>109144160</v>
      </c>
      <c r="E130" s="2916">
        <f>71254+3533980</f>
        <v>3605234</v>
      </c>
      <c r="F130" s="1863">
        <f>4922901+7377557+542459+106789+2990770-53444-1058102-58380-2500014-1938307-1976201</f>
        <v>8356028</v>
      </c>
      <c r="G130" s="1863">
        <f>5021358+7525108+553309+4097213</f>
        <v>17196988</v>
      </c>
      <c r="H130" s="1863">
        <f>5121786+7675610+564375+1968441</f>
        <v>15330212</v>
      </c>
      <c r="I130" s="1863">
        <f>5224221+7829122+575662+2027494</f>
        <v>15656499</v>
      </c>
      <c r="J130" s="1863">
        <f>13901587+2088319</f>
        <v>15989906</v>
      </c>
      <c r="K130" s="1863">
        <f>14179618+2150968</f>
        <v>16330586</v>
      </c>
      <c r="L130" s="1863">
        <f>14463209+2215498</f>
        <v>16678707</v>
      </c>
      <c r="M130" s="2904">
        <f t="shared" si="85"/>
        <v>105538926</v>
      </c>
      <c r="N130" s="3478"/>
      <c r="O130" s="1990"/>
      <c r="P130" s="1987"/>
      <c r="S130" s="420"/>
    </row>
    <row r="131" spans="1:19" s="419" customFormat="1" ht="12.75" hidden="1" customHeight="1">
      <c r="A131" s="3440"/>
      <c r="B131" s="2917" t="s">
        <v>160</v>
      </c>
      <c r="C131" s="2918"/>
      <c r="D131" s="2819">
        <f t="shared" si="84"/>
        <v>15344158</v>
      </c>
      <c r="E131" s="2905">
        <v>1532968</v>
      </c>
      <c r="F131" s="2905">
        <f>2190000-99000-10000</f>
        <v>2081000</v>
      </c>
      <c r="G131" s="2905">
        <f>2190000-190000</f>
        <v>2000000</v>
      </c>
      <c r="H131" s="2905">
        <f>2048339-48339</f>
        <v>2000000</v>
      </c>
      <c r="I131" s="2905">
        <f>2048339-48339</f>
        <v>2000000</v>
      </c>
      <c r="J131" s="2905">
        <f>2048339-48339</f>
        <v>2000000</v>
      </c>
      <c r="K131" s="2905">
        <f>2048339-48339</f>
        <v>2000000</v>
      </c>
      <c r="L131" s="2905">
        <f>2048336-148336-169810</f>
        <v>1730190</v>
      </c>
      <c r="M131" s="1862">
        <f t="shared" si="85"/>
        <v>13811190</v>
      </c>
      <c r="N131" s="3478"/>
      <c r="O131" s="1990"/>
      <c r="P131" s="1987"/>
      <c r="S131" s="420"/>
    </row>
    <row r="132" spans="1:19" s="419" customFormat="1" ht="12.75" hidden="1" customHeight="1">
      <c r="A132" s="3440"/>
      <c r="B132" s="2917" t="s">
        <v>439</v>
      </c>
      <c r="C132" s="2919"/>
      <c r="D132" s="2819">
        <f t="shared" si="84"/>
        <v>3184000</v>
      </c>
      <c r="E132" s="2905"/>
      <c r="F132" s="1865">
        <f>330000+100000</f>
        <v>430000</v>
      </c>
      <c r="G132" s="1865">
        <f>420000+309000</f>
        <v>729000</v>
      </c>
      <c r="H132" s="1865">
        <v>420000</v>
      </c>
      <c r="I132" s="1865">
        <v>405000</v>
      </c>
      <c r="J132" s="1865">
        <v>400000</v>
      </c>
      <c r="K132" s="1865">
        <v>400000</v>
      </c>
      <c r="L132" s="1865">
        <v>400000</v>
      </c>
      <c r="M132" s="1862">
        <f t="shared" si="85"/>
        <v>3184000</v>
      </c>
      <c r="N132" s="3478"/>
      <c r="O132" s="1990"/>
      <c r="P132" s="1987"/>
      <c r="S132" s="420"/>
    </row>
    <row r="133" spans="1:19" s="419" customFormat="1" ht="12.75" hidden="1" customHeight="1">
      <c r="A133" s="3440"/>
      <c r="B133" s="2201" t="s">
        <v>297</v>
      </c>
      <c r="C133" s="2920"/>
      <c r="D133" s="2819">
        <f t="shared" si="84"/>
        <v>3264265</v>
      </c>
      <c r="E133" s="2908">
        <v>293127</v>
      </c>
      <c r="F133" s="1866">
        <f>400248+86140-1+108427+36462-20083</f>
        <v>611193</v>
      </c>
      <c r="G133" s="1867">
        <f>397613+82194+46193</f>
        <v>526000</v>
      </c>
      <c r="H133" s="1867">
        <f>362772+20083</f>
        <v>382855</v>
      </c>
      <c r="I133" s="1867">
        <v>362772</v>
      </c>
      <c r="J133" s="1867">
        <v>362772</v>
      </c>
      <c r="K133" s="1867">
        <v>362773</v>
      </c>
      <c r="L133" s="1867">
        <v>362773</v>
      </c>
      <c r="M133" s="1862">
        <f t="shared" si="85"/>
        <v>2971138</v>
      </c>
      <c r="N133" s="3478"/>
      <c r="O133" s="1990"/>
      <c r="P133" s="1987"/>
      <c r="S133" s="420"/>
    </row>
    <row r="134" spans="1:19" s="419" customFormat="1" ht="12.75" hidden="1" customHeight="1">
      <c r="A134" s="3440"/>
      <c r="B134" s="2201" t="s">
        <v>298</v>
      </c>
      <c r="C134" s="2921"/>
      <c r="D134" s="2819">
        <f t="shared" si="84"/>
        <v>3052364</v>
      </c>
      <c r="E134" s="2908">
        <v>1724218</v>
      </c>
      <c r="F134" s="1866">
        <f>2213719-2975+1109794-2137692+169810-24436-74</f>
        <v>1328146</v>
      </c>
      <c r="G134" s="1867">
        <f>2501869+1700-1-2503568</f>
        <v>0</v>
      </c>
      <c r="H134" s="1867">
        <f>2303378-2303378</f>
        <v>0</v>
      </c>
      <c r="I134" s="1867">
        <f>2303378-2303378</f>
        <v>0</v>
      </c>
      <c r="J134" s="1867">
        <f>2303378-2303378</f>
        <v>0</v>
      </c>
      <c r="K134" s="1867">
        <f>2303377-2303377</f>
        <v>0</v>
      </c>
      <c r="L134" s="1867">
        <f>2303377-2303377</f>
        <v>0</v>
      </c>
      <c r="M134" s="1862">
        <f t="shared" si="85"/>
        <v>1328146</v>
      </c>
      <c r="N134" s="3478"/>
      <c r="O134" s="1990"/>
      <c r="P134" s="1987"/>
      <c r="S134" s="420"/>
    </row>
    <row r="135" spans="1:19" s="3010" customFormat="1" ht="16.5" customHeight="1">
      <c r="A135" s="3135"/>
      <c r="B135" s="91" t="s">
        <v>22</v>
      </c>
      <c r="C135" s="197"/>
      <c r="D135" s="435">
        <f>+D136</f>
        <v>183334401</v>
      </c>
      <c r="E135" s="435">
        <f t="shared" ref="E135:L135" si="86">+E136</f>
        <v>14581335</v>
      </c>
      <c r="F135" s="435">
        <f t="shared" si="86"/>
        <v>28616802</v>
      </c>
      <c r="G135" s="435">
        <f t="shared" si="86"/>
        <v>26461975</v>
      </c>
      <c r="H135" s="2922">
        <f t="shared" si="86"/>
        <v>22933067</v>
      </c>
      <c r="I135" s="2922">
        <f t="shared" si="86"/>
        <v>21824271</v>
      </c>
      <c r="J135" s="2922">
        <f t="shared" si="86"/>
        <v>22152678</v>
      </c>
      <c r="K135" s="2922">
        <f t="shared" si="86"/>
        <v>22493359</v>
      </c>
      <c r="L135" s="2922">
        <f t="shared" si="86"/>
        <v>22241479</v>
      </c>
      <c r="M135" s="3480" t="s">
        <v>61</v>
      </c>
      <c r="N135" s="3478"/>
      <c r="O135" s="3472" t="s">
        <v>582</v>
      </c>
      <c r="P135" s="3473"/>
      <c r="Q135" s="3473"/>
      <c r="R135" s="3473"/>
    </row>
    <row r="136" spans="1:19" s="3010" customFormat="1">
      <c r="A136" s="3135"/>
      <c r="B136" s="2923" t="s">
        <v>18</v>
      </c>
      <c r="C136" s="3485" t="s">
        <v>277</v>
      </c>
      <c r="D136" s="2881">
        <f t="shared" ref="D136:L136" si="87">+D137</f>
        <v>183334401</v>
      </c>
      <c r="E136" s="2881">
        <f t="shared" si="87"/>
        <v>14581335</v>
      </c>
      <c r="F136" s="2910">
        <f t="shared" si="87"/>
        <v>28616802</v>
      </c>
      <c r="G136" s="2910">
        <f t="shared" si="87"/>
        <v>26461975</v>
      </c>
      <c r="H136" s="2910">
        <f t="shared" si="87"/>
        <v>22933067</v>
      </c>
      <c r="I136" s="2910">
        <f t="shared" si="87"/>
        <v>21824271</v>
      </c>
      <c r="J136" s="2910">
        <f t="shared" si="87"/>
        <v>22152678</v>
      </c>
      <c r="K136" s="2910">
        <f t="shared" si="87"/>
        <v>22493359</v>
      </c>
      <c r="L136" s="2910">
        <f t="shared" si="87"/>
        <v>22241479</v>
      </c>
      <c r="M136" s="3456"/>
      <c r="N136" s="3478"/>
      <c r="O136" s="3472"/>
      <c r="P136" s="3473"/>
      <c r="Q136" s="3473"/>
      <c r="R136" s="3473"/>
    </row>
    <row r="137" spans="1:19" s="3010" customFormat="1" ht="13.5" thickBot="1">
      <c r="A137" s="3136"/>
      <c r="B137" s="411" t="s">
        <v>546</v>
      </c>
      <c r="C137" s="3381"/>
      <c r="D137" s="1337">
        <f>E137+F137+G137+H137+I137+J137+K137+L137+2029435</f>
        <v>183334401</v>
      </c>
      <c r="E137" s="2891">
        <v>14581335</v>
      </c>
      <c r="F137" s="821">
        <f>51433208-8318334-17866393+1853416+1574979-50000-10000-74</f>
        <v>28616802</v>
      </c>
      <c r="G137" s="821">
        <f>30885930-8318334+1316270-584995-2464989+5628093</f>
        <v>26461975</v>
      </c>
      <c r="H137" s="821">
        <f>29939078-8229084+354097+1107218+5454925-5693167</f>
        <v>22933067</v>
      </c>
      <c r="I137" s="821">
        <f>30223312-8246084-386089+82192+1168964-1018024</f>
        <v>21824271</v>
      </c>
      <c r="J137" s="821">
        <f>30407494-8157684-97132</f>
        <v>22152678</v>
      </c>
      <c r="K137" s="821">
        <f>30073524-7545683-34482</f>
        <v>22493359</v>
      </c>
      <c r="L137" s="821">
        <f>30175721-7364300-400206-169810+74</f>
        <v>22241479</v>
      </c>
      <c r="M137" s="3457"/>
      <c r="N137" s="3479"/>
      <c r="O137" s="3472"/>
      <c r="P137" s="3473"/>
      <c r="Q137" s="3473"/>
      <c r="R137" s="3473"/>
    </row>
    <row r="138" spans="1:19" s="3010" customFormat="1" ht="26.25" customHeight="1">
      <c r="A138" s="3439" t="s">
        <v>88</v>
      </c>
      <c r="B138" s="187" t="s">
        <v>292</v>
      </c>
      <c r="C138" s="188" t="s">
        <v>81</v>
      </c>
      <c r="D138" s="463"/>
      <c r="E138" s="460"/>
      <c r="F138" s="461"/>
      <c r="G138" s="461"/>
      <c r="H138" s="461"/>
      <c r="I138" s="461"/>
      <c r="J138" s="461"/>
      <c r="K138" s="461"/>
      <c r="L138" s="462"/>
      <c r="M138" s="415"/>
      <c r="N138" s="3474" t="s">
        <v>469</v>
      </c>
      <c r="O138" s="3472"/>
      <c r="P138" s="3473"/>
      <c r="Q138" s="3473"/>
      <c r="R138" s="3473"/>
    </row>
    <row r="139" spans="1:19" s="3010" customFormat="1" ht="14.25" customHeight="1">
      <c r="A139" s="3440"/>
      <c r="B139" s="21" t="s">
        <v>10</v>
      </c>
      <c r="C139" s="196"/>
      <c r="D139" s="1868">
        <f t="shared" ref="D139:M139" si="88">+D144+D140</f>
        <v>2097414</v>
      </c>
      <c r="E139" s="1868">
        <f t="shared" ref="E139" si="89">+E144+E140</f>
        <v>392617</v>
      </c>
      <c r="F139" s="1868">
        <f t="shared" si="88"/>
        <v>521603</v>
      </c>
      <c r="G139" s="1868">
        <f t="shared" si="88"/>
        <v>369922</v>
      </c>
      <c r="H139" s="1868">
        <f t="shared" si="88"/>
        <v>167272</v>
      </c>
      <c r="I139" s="1868">
        <f t="shared" si="88"/>
        <v>161500</v>
      </c>
      <c r="J139" s="1868">
        <f>+J144+J140</f>
        <v>161500</v>
      </c>
      <c r="K139" s="1868">
        <f>+K144+K140</f>
        <v>161500</v>
      </c>
      <c r="L139" s="1868">
        <f>+L144+L140</f>
        <v>161500</v>
      </c>
      <c r="M139" s="1869">
        <f t="shared" si="88"/>
        <v>1703387</v>
      </c>
      <c r="N139" s="3475"/>
      <c r="O139" s="3472"/>
      <c r="P139" s="3473"/>
      <c r="Q139" s="3473"/>
      <c r="R139" s="3473"/>
    </row>
    <row r="140" spans="1:19" s="3010" customFormat="1" ht="13.5" customHeight="1">
      <c r="A140" s="3440"/>
      <c r="B140" s="189" t="s">
        <v>24</v>
      </c>
      <c r="C140" s="3484" t="s">
        <v>457</v>
      </c>
      <c r="D140" s="1870">
        <f>+D141</f>
        <v>36523</v>
      </c>
      <c r="E140" s="1870">
        <f t="shared" ref="E140:L140" si="90">+E141</f>
        <v>35113</v>
      </c>
      <c r="F140" s="1870">
        <f t="shared" si="90"/>
        <v>545</v>
      </c>
      <c r="G140" s="1870">
        <f t="shared" si="90"/>
        <v>0</v>
      </c>
      <c r="H140" s="1870">
        <f t="shared" si="90"/>
        <v>865</v>
      </c>
      <c r="I140" s="1870">
        <f t="shared" si="90"/>
        <v>0</v>
      </c>
      <c r="J140" s="1870">
        <f t="shared" si="90"/>
        <v>0</v>
      </c>
      <c r="K140" s="1870">
        <f t="shared" si="90"/>
        <v>0</v>
      </c>
      <c r="L140" s="1870">
        <f t="shared" si="90"/>
        <v>0</v>
      </c>
      <c r="M140" s="1871">
        <f>+M141</f>
        <v>0</v>
      </c>
      <c r="N140" s="3475"/>
      <c r="O140" s="3472"/>
      <c r="P140" s="3473"/>
      <c r="Q140" s="3473"/>
      <c r="R140" s="3473"/>
    </row>
    <row r="141" spans="1:19" s="3010" customFormat="1" ht="13.5" customHeight="1">
      <c r="A141" s="3440"/>
      <c r="B141" s="527" t="s">
        <v>32</v>
      </c>
      <c r="C141" s="3388"/>
      <c r="D141" s="280">
        <f>E141+F141+G141+H141+I141+J141+K141+L141</f>
        <v>36523</v>
      </c>
      <c r="E141" s="2790">
        <f t="shared" ref="E141:L141" si="91">SUM(E142:E143)</f>
        <v>35113</v>
      </c>
      <c r="F141" s="2790">
        <f t="shared" si="91"/>
        <v>545</v>
      </c>
      <c r="G141" s="2790">
        <f t="shared" si="91"/>
        <v>0</v>
      </c>
      <c r="H141" s="2790">
        <f t="shared" si="91"/>
        <v>865</v>
      </c>
      <c r="I141" s="2790">
        <f t="shared" si="91"/>
        <v>0</v>
      </c>
      <c r="J141" s="2790">
        <f t="shared" si="91"/>
        <v>0</v>
      </c>
      <c r="K141" s="2790">
        <f t="shared" si="91"/>
        <v>0</v>
      </c>
      <c r="L141" s="2790">
        <f t="shared" si="91"/>
        <v>0</v>
      </c>
      <c r="M141" s="1872">
        <f t="shared" ref="M141" si="92">M142+M143</f>
        <v>0</v>
      </c>
      <c r="N141" s="3475"/>
      <c r="O141" s="3472"/>
      <c r="P141" s="3473"/>
      <c r="Q141" s="3473"/>
      <c r="R141" s="3473"/>
    </row>
    <row r="142" spans="1:19" s="3010" customFormat="1" ht="13.5" hidden="1" customHeight="1">
      <c r="A142" s="3440"/>
      <c r="B142" s="526" t="s">
        <v>278</v>
      </c>
      <c r="C142" s="3388"/>
      <c r="D142" s="280">
        <f>E142+F142+G142+H142+I142+J142+K142+L142</f>
        <v>8046</v>
      </c>
      <c r="E142" s="1873">
        <v>6636</v>
      </c>
      <c r="F142" s="1859">
        <f>1410-865</f>
        <v>545</v>
      </c>
      <c r="G142" s="1860">
        <f>865-865</f>
        <v>0</v>
      </c>
      <c r="H142" s="1860">
        <f>865</f>
        <v>865</v>
      </c>
      <c r="I142" s="1860"/>
      <c r="J142" s="1860"/>
      <c r="K142" s="1860"/>
      <c r="L142" s="1860"/>
      <c r="M142" s="1874">
        <v>0</v>
      </c>
      <c r="N142" s="3475"/>
      <c r="O142" s="3472"/>
      <c r="P142" s="3473"/>
      <c r="Q142" s="3473"/>
      <c r="R142" s="3473"/>
    </row>
    <row r="143" spans="1:19" s="3010" customFormat="1" ht="13.5" hidden="1" customHeight="1">
      <c r="A143" s="3440"/>
      <c r="B143" s="526" t="s">
        <v>279</v>
      </c>
      <c r="C143" s="3388"/>
      <c r="D143" s="280">
        <f>E143+F143+G143+H143+I143+J143+K143+L143</f>
        <v>28477</v>
      </c>
      <c r="E143" s="1873">
        <v>28477</v>
      </c>
      <c r="F143" s="1859">
        <f>975+525+5215-6715</f>
        <v>0</v>
      </c>
      <c r="G143" s="1860">
        <f>1800-300-1500</f>
        <v>0</v>
      </c>
      <c r="H143" s="1860">
        <f>975-975</f>
        <v>0</v>
      </c>
      <c r="I143" s="1860">
        <f>975-975</f>
        <v>0</v>
      </c>
      <c r="J143" s="1860">
        <f>975-975</f>
        <v>0</v>
      </c>
      <c r="K143" s="1860">
        <f>975-975</f>
        <v>0</v>
      </c>
      <c r="L143" s="1860">
        <f>975-975</f>
        <v>0</v>
      </c>
      <c r="M143" s="1874">
        <v>0</v>
      </c>
      <c r="N143" s="3475"/>
      <c r="O143" s="3472"/>
      <c r="P143" s="3473"/>
      <c r="Q143" s="3473"/>
      <c r="R143" s="3473"/>
    </row>
    <row r="144" spans="1:19" s="3010" customFormat="1" ht="13.5" customHeight="1">
      <c r="A144" s="3440"/>
      <c r="B144" s="92" t="s">
        <v>18</v>
      </c>
      <c r="C144" s="3388"/>
      <c r="D144" s="1875">
        <f>+D145</f>
        <v>2060891</v>
      </c>
      <c r="E144" s="1875">
        <f>+E145</f>
        <v>357504</v>
      </c>
      <c r="F144" s="1875">
        <f>+F145</f>
        <v>521058</v>
      </c>
      <c r="G144" s="1876">
        <f t="shared" ref="G144:M144" si="93">+G145</f>
        <v>369922</v>
      </c>
      <c r="H144" s="1876">
        <f t="shared" si="93"/>
        <v>166407</v>
      </c>
      <c r="I144" s="1876">
        <f t="shared" si="93"/>
        <v>161500</v>
      </c>
      <c r="J144" s="1876">
        <f t="shared" si="93"/>
        <v>161500</v>
      </c>
      <c r="K144" s="1876">
        <f t="shared" si="93"/>
        <v>161500</v>
      </c>
      <c r="L144" s="1876">
        <f t="shared" si="93"/>
        <v>161500</v>
      </c>
      <c r="M144" s="1877">
        <f t="shared" si="93"/>
        <v>1703387</v>
      </c>
      <c r="N144" s="3475"/>
      <c r="O144" s="3472"/>
      <c r="P144" s="3473"/>
      <c r="Q144" s="3473"/>
      <c r="R144" s="3473"/>
    </row>
    <row r="145" spans="1:18" s="3010" customFormat="1">
      <c r="A145" s="3440"/>
      <c r="B145" s="516" t="s">
        <v>21</v>
      </c>
      <c r="C145" s="3377"/>
      <c r="D145" s="3027">
        <f>E145+F145+G145+H145+I145+J145+K145+L145</f>
        <v>2060891</v>
      </c>
      <c r="E145" s="2790">
        <f>+E147+E148+E149+E150+E151+E152+E153</f>
        <v>357504</v>
      </c>
      <c r="F145" s="2790">
        <f t="shared" ref="F145:L145" si="94">+F147+F148+F149+F150+F151+F152+F153</f>
        <v>521058</v>
      </c>
      <c r="G145" s="2790">
        <f t="shared" si="94"/>
        <v>369922</v>
      </c>
      <c r="H145" s="2790">
        <f t="shared" si="94"/>
        <v>166407</v>
      </c>
      <c r="I145" s="2790">
        <f t="shared" si="94"/>
        <v>161500</v>
      </c>
      <c r="J145" s="2790">
        <f t="shared" si="94"/>
        <v>161500</v>
      </c>
      <c r="K145" s="2790">
        <f t="shared" si="94"/>
        <v>161500</v>
      </c>
      <c r="L145" s="2790">
        <f t="shared" si="94"/>
        <v>161500</v>
      </c>
      <c r="M145" s="2198">
        <f>+M147+M148+M149+M150+M151+M152+M153</f>
        <v>1703387</v>
      </c>
      <c r="N145" s="3475"/>
      <c r="O145" s="3472"/>
      <c r="P145" s="3473"/>
      <c r="Q145" s="3473"/>
      <c r="R145" s="3473"/>
    </row>
    <row r="146" spans="1:18" s="3010" customFormat="1" ht="12.75" hidden="1" customHeight="1">
      <c r="A146" s="3440"/>
      <c r="B146" s="516" t="s">
        <v>156</v>
      </c>
      <c r="C146" s="430"/>
      <c r="D146" s="1878"/>
      <c r="E146" s="1880"/>
      <c r="F146" s="1881"/>
      <c r="G146" s="1881"/>
      <c r="H146" s="1881"/>
      <c r="I146" s="1881"/>
      <c r="J146" s="1881"/>
      <c r="K146" s="1881"/>
      <c r="L146" s="1881"/>
      <c r="M146" s="1879"/>
      <c r="N146" s="3475"/>
      <c r="O146" s="3472"/>
      <c r="P146" s="3473"/>
      <c r="Q146" s="3473"/>
      <c r="R146" s="3473"/>
    </row>
    <row r="147" spans="1:18" s="3010" customFormat="1" ht="12.75" hidden="1" customHeight="1">
      <c r="A147" s="3440"/>
      <c r="B147" s="522" t="s">
        <v>157</v>
      </c>
      <c r="C147" s="431"/>
      <c r="D147" s="280">
        <f t="shared" ref="D147:D153" si="95">E147+F147+G147+H147+I147+J147+K147+L147</f>
        <v>1660924</v>
      </c>
      <c r="E147" s="1861">
        <v>144449</v>
      </c>
      <c r="F147" s="1843">
        <f>144500+224475+25000+50000</f>
        <v>443975</v>
      </c>
      <c r="G147" s="1843">
        <f>144500+51+205449</f>
        <v>350000</v>
      </c>
      <c r="H147" s="1843">
        <v>144500</v>
      </c>
      <c r="I147" s="1843">
        <v>144500</v>
      </c>
      <c r="J147" s="1843">
        <v>144500</v>
      </c>
      <c r="K147" s="1843">
        <v>144500</v>
      </c>
      <c r="L147" s="1843">
        <v>144500</v>
      </c>
      <c r="M147" s="1862">
        <f t="shared" ref="M147:M153" si="96">+F147+G147+H147+I147+J147+K147+L147</f>
        <v>1516475</v>
      </c>
      <c r="N147" s="3475"/>
      <c r="O147" s="3472"/>
      <c r="P147" s="3473"/>
      <c r="Q147" s="3473"/>
      <c r="R147" s="3473"/>
    </row>
    <row r="148" spans="1:18" s="3010" customFormat="1" ht="12.75" hidden="1" customHeight="1">
      <c r="A148" s="3440"/>
      <c r="B148" s="523" t="s">
        <v>158</v>
      </c>
      <c r="C148" s="432"/>
      <c r="D148" s="280">
        <f t="shared" si="95"/>
        <v>168000</v>
      </c>
      <c r="E148" s="1882">
        <v>14078</v>
      </c>
      <c r="F148" s="1844">
        <f>17000+32000</f>
        <v>49000</v>
      </c>
      <c r="G148" s="1844">
        <f>17000+2922</f>
        <v>19922</v>
      </c>
      <c r="H148" s="1844">
        <v>17000</v>
      </c>
      <c r="I148" s="1844">
        <v>17000</v>
      </c>
      <c r="J148" s="1844">
        <v>17000</v>
      </c>
      <c r="K148" s="1844">
        <v>17000</v>
      </c>
      <c r="L148" s="1844">
        <v>17000</v>
      </c>
      <c r="M148" s="1862">
        <f t="shared" si="96"/>
        <v>153922</v>
      </c>
      <c r="N148" s="3475"/>
      <c r="O148" s="3472"/>
      <c r="P148" s="3473"/>
      <c r="Q148" s="3473"/>
      <c r="R148" s="3473"/>
    </row>
    <row r="149" spans="1:18" s="3010" customFormat="1" ht="12.75" hidden="1" customHeight="1">
      <c r="A149" s="3440"/>
      <c r="B149" s="524" t="s">
        <v>159</v>
      </c>
      <c r="C149" s="501"/>
      <c r="D149" s="280">
        <f t="shared" si="95"/>
        <v>0</v>
      </c>
      <c r="E149" s="1883"/>
      <c r="F149" s="1863"/>
      <c r="G149" s="1863"/>
      <c r="H149" s="1863"/>
      <c r="I149" s="1863"/>
      <c r="J149" s="1863"/>
      <c r="K149" s="1863"/>
      <c r="L149" s="1863"/>
      <c r="M149" s="1862">
        <f t="shared" si="96"/>
        <v>0</v>
      </c>
      <c r="N149" s="3475"/>
      <c r="O149" s="3472"/>
      <c r="P149" s="3473"/>
      <c r="Q149" s="3473"/>
      <c r="R149" s="3473"/>
    </row>
    <row r="150" spans="1:18" s="3010" customFormat="1" ht="12.75" hidden="1" customHeight="1">
      <c r="A150" s="3440"/>
      <c r="B150" s="528" t="s">
        <v>160</v>
      </c>
      <c r="C150" s="433"/>
      <c r="D150" s="280">
        <f t="shared" si="95"/>
        <v>25000</v>
      </c>
      <c r="E150" s="1884">
        <v>0</v>
      </c>
      <c r="F150" s="1864">
        <f>6000+9000+10000</f>
        <v>25000</v>
      </c>
      <c r="G150" s="1884"/>
      <c r="H150" s="1884"/>
      <c r="I150" s="1884"/>
      <c r="J150" s="1884"/>
      <c r="K150" s="1884"/>
      <c r="L150" s="1884"/>
      <c r="M150" s="1862">
        <f t="shared" si="96"/>
        <v>25000</v>
      </c>
      <c r="N150" s="3475"/>
      <c r="O150" s="3472"/>
      <c r="P150" s="3473"/>
      <c r="Q150" s="3473"/>
      <c r="R150" s="3473"/>
    </row>
    <row r="151" spans="1:18" s="3010" customFormat="1" ht="12.75" hidden="1" customHeight="1">
      <c r="A151" s="3440"/>
      <c r="B151" s="1841" t="s">
        <v>440</v>
      </c>
      <c r="C151" s="1842"/>
      <c r="D151" s="280">
        <f t="shared" si="95"/>
        <v>0</v>
      </c>
      <c r="E151" s="1864"/>
      <c r="F151" s="1864">
        <f>25000-25000</f>
        <v>0</v>
      </c>
      <c r="G151" s="1864"/>
      <c r="H151" s="1864"/>
      <c r="I151" s="1864"/>
      <c r="J151" s="1864"/>
      <c r="K151" s="1864"/>
      <c r="L151" s="1864"/>
      <c r="M151" s="1862">
        <f t="shared" si="96"/>
        <v>0</v>
      </c>
      <c r="N151" s="3475"/>
      <c r="O151" s="3472"/>
      <c r="P151" s="3473"/>
      <c r="Q151" s="3473"/>
      <c r="R151" s="3473"/>
    </row>
    <row r="152" spans="1:18" s="3010" customFormat="1" ht="12.75" hidden="1" customHeight="1">
      <c r="A152" s="3440"/>
      <c r="B152" s="526" t="s">
        <v>409</v>
      </c>
      <c r="C152" s="502"/>
      <c r="D152" s="280">
        <f t="shared" si="95"/>
        <v>45597</v>
      </c>
      <c r="E152" s="1873">
        <v>37607</v>
      </c>
      <c r="F152" s="1885">
        <f>7990-4907</f>
        <v>3083</v>
      </c>
      <c r="G152" s="1885">
        <f>4907-4907</f>
        <v>0</v>
      </c>
      <c r="H152" s="1873">
        <v>4907</v>
      </c>
      <c r="I152" s="1873"/>
      <c r="J152" s="1873"/>
      <c r="K152" s="1873"/>
      <c r="L152" s="1873"/>
      <c r="M152" s="1862">
        <f t="shared" si="96"/>
        <v>7990</v>
      </c>
      <c r="N152" s="3475"/>
      <c r="O152" s="3472"/>
      <c r="P152" s="3473"/>
      <c r="Q152" s="3473"/>
      <c r="R152" s="3473"/>
    </row>
    <row r="153" spans="1:18" s="3010" customFormat="1" ht="12.75" hidden="1" customHeight="1">
      <c r="A153" s="3440"/>
      <c r="B153" s="526" t="s">
        <v>298</v>
      </c>
      <c r="C153" s="434"/>
      <c r="D153" s="280">
        <f t="shared" si="95"/>
        <v>161370</v>
      </c>
      <c r="E153" s="1873">
        <v>161370</v>
      </c>
      <c r="F153" s="1885">
        <f>5525+2975+29556-38056</f>
        <v>0</v>
      </c>
      <c r="G153" s="1885">
        <f>10200-1700-8500</f>
        <v>0</v>
      </c>
      <c r="H153" s="1885">
        <f>5525-5525</f>
        <v>0</v>
      </c>
      <c r="I153" s="1885">
        <f>5525-5525</f>
        <v>0</v>
      </c>
      <c r="J153" s="1885">
        <f>5525-5525</f>
        <v>0</v>
      </c>
      <c r="K153" s="1885">
        <f>5525-5525</f>
        <v>0</v>
      </c>
      <c r="L153" s="1885">
        <f>5525-5525</f>
        <v>0</v>
      </c>
      <c r="M153" s="1862">
        <f t="shared" si="96"/>
        <v>0</v>
      </c>
      <c r="N153" s="3475"/>
      <c r="O153" s="3472"/>
      <c r="P153" s="3473"/>
      <c r="Q153" s="3473"/>
      <c r="R153" s="3473"/>
    </row>
    <row r="154" spans="1:18" s="3010" customFormat="1" ht="14.25" customHeight="1">
      <c r="A154" s="3440"/>
      <c r="B154" s="91" t="s">
        <v>22</v>
      </c>
      <c r="C154" s="197"/>
      <c r="D154" s="435">
        <f>+D155</f>
        <v>2060891</v>
      </c>
      <c r="E154" s="435">
        <f t="shared" ref="E154:L154" si="97">+E155</f>
        <v>236568</v>
      </c>
      <c r="F154" s="435">
        <f t="shared" si="97"/>
        <v>641994</v>
      </c>
      <c r="G154" s="435">
        <f t="shared" si="97"/>
        <v>369922</v>
      </c>
      <c r="H154" s="435">
        <f t="shared" si="97"/>
        <v>166407</v>
      </c>
      <c r="I154" s="435">
        <f t="shared" si="97"/>
        <v>161500</v>
      </c>
      <c r="J154" s="435">
        <f t="shared" si="97"/>
        <v>161500</v>
      </c>
      <c r="K154" s="435">
        <f t="shared" si="97"/>
        <v>161500</v>
      </c>
      <c r="L154" s="435">
        <f t="shared" si="97"/>
        <v>161500</v>
      </c>
      <c r="M154" s="3490" t="s">
        <v>61</v>
      </c>
      <c r="N154" s="3475"/>
      <c r="O154" s="3472"/>
      <c r="P154" s="3473"/>
      <c r="Q154" s="3473"/>
      <c r="R154" s="3473"/>
    </row>
    <row r="155" spans="1:18" s="3010" customFormat="1" ht="15.75" customHeight="1">
      <c r="A155" s="3440"/>
      <c r="B155" s="2235" t="s">
        <v>18</v>
      </c>
      <c r="C155" s="3484" t="s">
        <v>277</v>
      </c>
      <c r="D155" s="1886">
        <f t="shared" ref="D155:L155" si="98">+D156</f>
        <v>2060891</v>
      </c>
      <c r="E155" s="1887">
        <f t="shared" si="98"/>
        <v>236568</v>
      </c>
      <c r="F155" s="1887">
        <f t="shared" si="98"/>
        <v>641994</v>
      </c>
      <c r="G155" s="1887">
        <f t="shared" si="98"/>
        <v>369922</v>
      </c>
      <c r="H155" s="1887">
        <f t="shared" si="98"/>
        <v>166407</v>
      </c>
      <c r="I155" s="1887">
        <f t="shared" si="98"/>
        <v>161500</v>
      </c>
      <c r="J155" s="1887">
        <f t="shared" si="98"/>
        <v>161500</v>
      </c>
      <c r="K155" s="1887">
        <f t="shared" si="98"/>
        <v>161500</v>
      </c>
      <c r="L155" s="1887">
        <f t="shared" si="98"/>
        <v>161500</v>
      </c>
      <c r="M155" s="3456"/>
      <c r="N155" s="3475"/>
      <c r="O155" s="3472"/>
      <c r="P155" s="3473"/>
      <c r="Q155" s="3473"/>
      <c r="R155" s="3473"/>
    </row>
    <row r="156" spans="1:18" s="3010" customFormat="1" ht="13.5" customHeight="1" thickBot="1">
      <c r="A156" s="3483"/>
      <c r="B156" s="411" t="s">
        <v>21</v>
      </c>
      <c r="C156" s="3381"/>
      <c r="D156" s="280">
        <f>E156+F156+G156+H156+I156+J156+K156+L156</f>
        <v>2060891</v>
      </c>
      <c r="E156" s="2071">
        <v>236568</v>
      </c>
      <c r="F156" s="1888">
        <f>192515-22515+300021+111973+50000+10000</f>
        <v>641994</v>
      </c>
      <c r="G156" s="1888">
        <f>171700-1700-620+200542</f>
        <v>369922</v>
      </c>
      <c r="H156" s="1888">
        <f>167025-5525+4907</f>
        <v>166407</v>
      </c>
      <c r="I156" s="1888">
        <f>167025-5525</f>
        <v>161500</v>
      </c>
      <c r="J156" s="1888">
        <f>167025-5525</f>
        <v>161500</v>
      </c>
      <c r="K156" s="1888">
        <f>167025-5525</f>
        <v>161500</v>
      </c>
      <c r="L156" s="1888">
        <f>167025-5525</f>
        <v>161500</v>
      </c>
      <c r="M156" s="3457"/>
      <c r="N156" s="3476"/>
      <c r="O156" s="3472"/>
      <c r="P156" s="3473"/>
      <c r="Q156" s="3473"/>
      <c r="R156" s="3473"/>
    </row>
    <row r="157" spans="1:18" s="3010" customFormat="1" ht="29.25" customHeight="1">
      <c r="A157" s="3439" t="s">
        <v>89</v>
      </c>
      <c r="B157" s="2283" t="s">
        <v>340</v>
      </c>
      <c r="C157" s="2284" t="s">
        <v>81</v>
      </c>
      <c r="D157" s="206"/>
      <c r="E157" s="464"/>
      <c r="F157" s="205"/>
      <c r="G157" s="205"/>
      <c r="H157" s="205"/>
      <c r="I157" s="205"/>
      <c r="J157" s="205"/>
      <c r="K157" s="205"/>
      <c r="L157" s="292"/>
      <c r="M157" s="2285"/>
      <c r="N157" s="3474" t="s">
        <v>370</v>
      </c>
      <c r="O157" s="374"/>
    </row>
    <row r="158" spans="1:18" s="3010" customFormat="1" ht="13.5" customHeight="1">
      <c r="A158" s="3440"/>
      <c r="B158" s="626" t="s">
        <v>10</v>
      </c>
      <c r="C158" s="2286"/>
      <c r="D158" s="2769">
        <f>+D159+D162</f>
        <v>98152110</v>
      </c>
      <c r="E158" s="863">
        <f>+E159+E162</f>
        <v>360377</v>
      </c>
      <c r="F158" s="863">
        <f t="shared" ref="F158:L158" si="99">+F159+F162</f>
        <v>3213177</v>
      </c>
      <c r="G158" s="863">
        <f t="shared" si="99"/>
        <v>16336509</v>
      </c>
      <c r="H158" s="863">
        <f t="shared" si="99"/>
        <v>48906792</v>
      </c>
      <c r="I158" s="863">
        <f t="shared" si="99"/>
        <v>29335255</v>
      </c>
      <c r="J158" s="863">
        <f t="shared" si="99"/>
        <v>0</v>
      </c>
      <c r="K158" s="863">
        <f t="shared" si="99"/>
        <v>0</v>
      </c>
      <c r="L158" s="863">
        <f t="shared" si="99"/>
        <v>0</v>
      </c>
      <c r="M158" s="2287">
        <f>SUM(F158:L158)</f>
        <v>97791733</v>
      </c>
      <c r="N158" s="3475"/>
      <c r="O158" s="374"/>
    </row>
    <row r="159" spans="1:18" s="3010" customFormat="1" ht="13.5" customHeight="1">
      <c r="A159" s="3440"/>
      <c r="B159" s="832" t="s">
        <v>24</v>
      </c>
      <c r="C159" s="3492" t="s">
        <v>304</v>
      </c>
      <c r="D159" s="2770">
        <f>+D160+D161</f>
        <v>28902110</v>
      </c>
      <c r="E159" s="2288">
        <f t="shared" ref="E159" si="100">+E160+E161</f>
        <v>0</v>
      </c>
      <c r="F159" s="2288">
        <f t="shared" ref="F159:M159" si="101">+F160+F161</f>
        <v>200000</v>
      </c>
      <c r="G159" s="2288">
        <f t="shared" si="101"/>
        <v>4481660</v>
      </c>
      <c r="H159" s="2288">
        <f t="shared" si="101"/>
        <v>13335195</v>
      </c>
      <c r="I159" s="2288">
        <f t="shared" si="101"/>
        <v>10885255</v>
      </c>
      <c r="J159" s="2288">
        <f t="shared" si="101"/>
        <v>0</v>
      </c>
      <c r="K159" s="2288">
        <f t="shared" si="101"/>
        <v>0</v>
      </c>
      <c r="L159" s="2288">
        <f t="shared" si="101"/>
        <v>0</v>
      </c>
      <c r="M159" s="2289">
        <f t="shared" si="101"/>
        <v>28902110</v>
      </c>
      <c r="N159" s="3475"/>
      <c r="O159" s="374"/>
    </row>
    <row r="160" spans="1:18" s="3010" customFormat="1" ht="13.5" customHeight="1">
      <c r="A160" s="3440"/>
      <c r="B160" s="2290" t="s">
        <v>12</v>
      </c>
      <c r="C160" s="3492"/>
      <c r="D160" s="2788">
        <f>E160+F160+G160+H160+I160+J160+K160+L160</f>
        <v>28902110</v>
      </c>
      <c r="E160" s="2071">
        <v>0</v>
      </c>
      <c r="F160" s="2291">
        <f t="shared" ref="F160:L160" si="102">+F178+F192+F208+F219</f>
        <v>200000</v>
      </c>
      <c r="G160" s="2291">
        <f t="shared" si="102"/>
        <v>4481660</v>
      </c>
      <c r="H160" s="2291">
        <f>+H178+H192+H208+H219</f>
        <v>13335195</v>
      </c>
      <c r="I160" s="2291">
        <f t="shared" si="102"/>
        <v>10885255</v>
      </c>
      <c r="J160" s="2291">
        <f t="shared" si="102"/>
        <v>0</v>
      </c>
      <c r="K160" s="2291">
        <f t="shared" si="102"/>
        <v>0</v>
      </c>
      <c r="L160" s="2291">
        <f t="shared" si="102"/>
        <v>0</v>
      </c>
      <c r="M160" s="856">
        <f>SUM(F160:L160)</f>
        <v>28902110</v>
      </c>
      <c r="N160" s="3475"/>
      <c r="O160" s="374"/>
    </row>
    <row r="161" spans="1:15" s="3010" customFormat="1" ht="13.5" hidden="1" customHeight="1">
      <c r="A161" s="3440"/>
      <c r="B161" s="2290" t="s">
        <v>16</v>
      </c>
      <c r="C161" s="3492"/>
      <c r="D161" s="2788">
        <f>E161+F161+G161+H161+I161+J161+K161+L161</f>
        <v>0</v>
      </c>
      <c r="E161" s="2292">
        <v>0</v>
      </c>
      <c r="F161" s="2291">
        <f t="shared" ref="F161:L161" si="103">+F179+F193+F220</f>
        <v>0</v>
      </c>
      <c r="G161" s="2291">
        <f t="shared" si="103"/>
        <v>0</v>
      </c>
      <c r="H161" s="2291">
        <f t="shared" si="103"/>
        <v>0</v>
      </c>
      <c r="I161" s="2291">
        <f t="shared" si="103"/>
        <v>0</v>
      </c>
      <c r="J161" s="2291">
        <f t="shared" si="103"/>
        <v>0</v>
      </c>
      <c r="K161" s="2291">
        <f t="shared" si="103"/>
        <v>0</v>
      </c>
      <c r="L161" s="2291">
        <f t="shared" si="103"/>
        <v>0</v>
      </c>
      <c r="M161" s="856">
        <f>SUM(F161:L161)</f>
        <v>0</v>
      </c>
      <c r="N161" s="3475"/>
      <c r="O161" s="374"/>
    </row>
    <row r="162" spans="1:15" s="3010" customFormat="1" ht="13.5" customHeight="1">
      <c r="A162" s="3440"/>
      <c r="B162" s="2293" t="s">
        <v>18</v>
      </c>
      <c r="C162" s="3492"/>
      <c r="D162" s="2767">
        <f>+D163</f>
        <v>69250000</v>
      </c>
      <c r="E162" s="2767">
        <f t="shared" ref="E162" si="104">+E163</f>
        <v>360377</v>
      </c>
      <c r="F162" s="2294">
        <f t="shared" ref="F162:L162" si="105">+F163</f>
        <v>3013177</v>
      </c>
      <c r="G162" s="2294">
        <f t="shared" si="105"/>
        <v>11854849</v>
      </c>
      <c r="H162" s="2294">
        <f t="shared" si="105"/>
        <v>35571597</v>
      </c>
      <c r="I162" s="2294">
        <f t="shared" si="105"/>
        <v>18450000</v>
      </c>
      <c r="J162" s="2294">
        <f t="shared" si="105"/>
        <v>0</v>
      </c>
      <c r="K162" s="2294">
        <f t="shared" si="105"/>
        <v>0</v>
      </c>
      <c r="L162" s="2294">
        <f t="shared" si="105"/>
        <v>0</v>
      </c>
      <c r="M162" s="2289">
        <f>+M164+M165+M166</f>
        <v>69250000</v>
      </c>
      <c r="N162" s="3475"/>
      <c r="O162" s="374"/>
    </row>
    <row r="163" spans="1:15" s="3010" customFormat="1" ht="12.75" customHeight="1">
      <c r="A163" s="3440"/>
      <c r="B163" s="989" t="s">
        <v>21</v>
      </c>
      <c r="C163" s="3492"/>
      <c r="D163" s="2788">
        <f>E163+F163+G163+H163+I163+J163+K163+L163</f>
        <v>69250000</v>
      </c>
      <c r="E163" s="2768">
        <f>+E164+E165+E166</f>
        <v>360377</v>
      </c>
      <c r="F163" s="2291">
        <f>+F164+F165+F166</f>
        <v>3013177</v>
      </c>
      <c r="G163" s="2291">
        <f t="shared" ref="G163:L163" si="106">+G164+G165+G166</f>
        <v>11854849</v>
      </c>
      <c r="H163" s="2291">
        <f t="shared" si="106"/>
        <v>35571597</v>
      </c>
      <c r="I163" s="2291">
        <f t="shared" si="106"/>
        <v>18450000</v>
      </c>
      <c r="J163" s="2291">
        <f t="shared" si="106"/>
        <v>0</v>
      </c>
      <c r="K163" s="2291">
        <f t="shared" si="106"/>
        <v>0</v>
      </c>
      <c r="L163" s="2291">
        <f t="shared" si="106"/>
        <v>0</v>
      </c>
      <c r="M163" s="856">
        <f>SUM(F163:L163)</f>
        <v>68889623</v>
      </c>
      <c r="N163" s="3475"/>
      <c r="O163" s="374"/>
    </row>
    <row r="164" spans="1:15" s="3010" customFormat="1" ht="23.25" hidden="1" customHeight="1">
      <c r="A164" s="3440"/>
      <c r="B164" s="2290" t="s">
        <v>305</v>
      </c>
      <c r="C164" s="3492"/>
      <c r="D164" s="2768">
        <f>+D196</f>
        <v>18000000</v>
      </c>
      <c r="E164" s="2768">
        <f>+E182+E196+E211+E223</f>
        <v>360377</v>
      </c>
      <c r="F164" s="2291">
        <f t="shared" ref="F164:L164" si="107">+F182+F196+F211+F223</f>
        <v>3013177</v>
      </c>
      <c r="G164" s="2291">
        <f t="shared" si="107"/>
        <v>5294849</v>
      </c>
      <c r="H164" s="2291">
        <f t="shared" si="107"/>
        <v>9331597</v>
      </c>
      <c r="I164" s="2291">
        <f t="shared" si="107"/>
        <v>0</v>
      </c>
      <c r="J164" s="2291">
        <f t="shared" si="107"/>
        <v>0</v>
      </c>
      <c r="K164" s="2291">
        <f t="shared" si="107"/>
        <v>0</v>
      </c>
      <c r="L164" s="2291">
        <f t="shared" si="107"/>
        <v>0</v>
      </c>
      <c r="M164" s="2295">
        <f>SUM(E164:L164)</f>
        <v>18000000</v>
      </c>
      <c r="N164" s="3475"/>
      <c r="O164" s="374"/>
    </row>
    <row r="165" spans="1:15" s="3010" customFormat="1" ht="20.25" hidden="1" customHeight="1">
      <c r="A165" s="3440"/>
      <c r="B165" s="2290" t="s">
        <v>306</v>
      </c>
      <c r="C165" s="3492"/>
      <c r="D165" s="2768">
        <f>+D197</f>
        <v>10250000</v>
      </c>
      <c r="E165" s="2291">
        <v>0</v>
      </c>
      <c r="F165" s="2291">
        <f t="shared" ref="F165:L165" si="108">+F197</f>
        <v>0</v>
      </c>
      <c r="G165" s="2291">
        <f t="shared" si="108"/>
        <v>6560000</v>
      </c>
      <c r="H165" s="2291">
        <f t="shared" si="108"/>
        <v>3690000</v>
      </c>
      <c r="I165" s="2291">
        <f t="shared" si="108"/>
        <v>0</v>
      </c>
      <c r="J165" s="2291">
        <f t="shared" si="108"/>
        <v>0</v>
      </c>
      <c r="K165" s="2291">
        <f t="shared" si="108"/>
        <v>0</v>
      </c>
      <c r="L165" s="2291">
        <f t="shared" si="108"/>
        <v>0</v>
      </c>
      <c r="M165" s="2295">
        <f>SUM(E165:L165)</f>
        <v>10250000</v>
      </c>
      <c r="N165" s="3475"/>
      <c r="O165" s="374"/>
    </row>
    <row r="166" spans="1:15" s="3010" customFormat="1" ht="27" hidden="1" customHeight="1">
      <c r="A166" s="3440"/>
      <c r="B166" s="2290" t="s">
        <v>307</v>
      </c>
      <c r="C166" s="3492"/>
      <c r="D166" s="2768">
        <f>+D198</f>
        <v>28250000</v>
      </c>
      <c r="E166" s="2296">
        <v>0</v>
      </c>
      <c r="F166" s="2296">
        <f t="shared" ref="F166:L166" si="109">+F224</f>
        <v>0</v>
      </c>
      <c r="G166" s="2296">
        <f t="shared" si="109"/>
        <v>0</v>
      </c>
      <c r="H166" s="2296">
        <f t="shared" si="109"/>
        <v>22550000</v>
      </c>
      <c r="I166" s="2296">
        <f t="shared" si="109"/>
        <v>18450000</v>
      </c>
      <c r="J166" s="2296">
        <f t="shared" si="109"/>
        <v>0</v>
      </c>
      <c r="K166" s="2296">
        <f t="shared" si="109"/>
        <v>0</v>
      </c>
      <c r="L166" s="2296">
        <f t="shared" si="109"/>
        <v>0</v>
      </c>
      <c r="M166" s="2295">
        <f>SUM(E166:L166)</f>
        <v>41000000</v>
      </c>
      <c r="N166" s="3475"/>
      <c r="O166" s="374"/>
    </row>
    <row r="167" spans="1:15" s="3010" customFormat="1" ht="15">
      <c r="A167" s="3440"/>
      <c r="B167" s="208" t="s">
        <v>308</v>
      </c>
      <c r="C167" s="2286"/>
      <c r="D167" s="2769">
        <f t="shared" ref="D167:L167" si="110">+D168+D170</f>
        <v>69250000</v>
      </c>
      <c r="E167" s="863">
        <f t="shared" si="110"/>
        <v>226180</v>
      </c>
      <c r="F167" s="863">
        <f t="shared" si="110"/>
        <v>3147374</v>
      </c>
      <c r="G167" s="863">
        <f t="shared" si="110"/>
        <v>11854849</v>
      </c>
      <c r="H167" s="863">
        <f t="shared" si="110"/>
        <v>35571597</v>
      </c>
      <c r="I167" s="863">
        <f t="shared" si="110"/>
        <v>18450000</v>
      </c>
      <c r="J167" s="863">
        <f t="shared" si="110"/>
        <v>0</v>
      </c>
      <c r="K167" s="863">
        <f t="shared" si="110"/>
        <v>0</v>
      </c>
      <c r="L167" s="863">
        <f t="shared" si="110"/>
        <v>0</v>
      </c>
      <c r="M167" s="3494" t="s">
        <v>61</v>
      </c>
      <c r="N167" s="3475"/>
      <c r="O167" s="374"/>
    </row>
    <row r="168" spans="1:15" s="3010" customFormat="1" ht="13.5" hidden="1" customHeight="1">
      <c r="A168" s="3440"/>
      <c r="B168" s="832" t="s">
        <v>24</v>
      </c>
      <c r="C168" s="3491" t="s">
        <v>309</v>
      </c>
      <c r="D168" s="2770">
        <f>+D169</f>
        <v>0</v>
      </c>
      <c r="E168" s="2288">
        <f t="shared" ref="E168:L168" si="111">+E169</f>
        <v>0</v>
      </c>
      <c r="F168" s="2288">
        <f t="shared" si="111"/>
        <v>0</v>
      </c>
      <c r="G168" s="2288">
        <f t="shared" si="111"/>
        <v>0</v>
      </c>
      <c r="H168" s="2288">
        <f t="shared" si="111"/>
        <v>0</v>
      </c>
      <c r="I168" s="2288">
        <f t="shared" si="111"/>
        <v>0</v>
      </c>
      <c r="J168" s="2288">
        <f t="shared" si="111"/>
        <v>0</v>
      </c>
      <c r="K168" s="2288">
        <f t="shared" si="111"/>
        <v>0</v>
      </c>
      <c r="L168" s="2288">
        <f t="shared" si="111"/>
        <v>0</v>
      </c>
      <c r="M168" s="3470"/>
      <c r="N168" s="3475"/>
      <c r="O168" s="374"/>
    </row>
    <row r="169" spans="1:15" s="3010" customFormat="1" ht="13.5" hidden="1" customHeight="1">
      <c r="A169" s="3440"/>
      <c r="B169" s="2290" t="s">
        <v>16</v>
      </c>
      <c r="C169" s="3492"/>
      <c r="D169" s="2788">
        <f>E169+F169+G169+H169+I169+J169+K169+L169</f>
        <v>0</v>
      </c>
      <c r="E169" s="2071">
        <v>0</v>
      </c>
      <c r="F169" s="2297">
        <f t="shared" ref="F169:L169" si="112">+F200+F227</f>
        <v>0</v>
      </c>
      <c r="G169" s="2297">
        <f t="shared" si="112"/>
        <v>0</v>
      </c>
      <c r="H169" s="2297">
        <f t="shared" si="112"/>
        <v>0</v>
      </c>
      <c r="I169" s="2297">
        <f t="shared" si="112"/>
        <v>0</v>
      </c>
      <c r="J169" s="2297">
        <f t="shared" si="112"/>
        <v>0</v>
      </c>
      <c r="K169" s="2297">
        <f t="shared" si="112"/>
        <v>0</v>
      </c>
      <c r="L169" s="2297">
        <f t="shared" si="112"/>
        <v>0</v>
      </c>
      <c r="M169" s="3470"/>
      <c r="N169" s="3475"/>
      <c r="O169" s="374"/>
    </row>
    <row r="170" spans="1:15" s="3010" customFormat="1" ht="13.5" customHeight="1">
      <c r="A170" s="3440"/>
      <c r="B170" s="2293" t="s">
        <v>18</v>
      </c>
      <c r="C170" s="3492"/>
      <c r="D170" s="2770">
        <f>+D171</f>
        <v>69250000</v>
      </c>
      <c r="E170" s="2288">
        <f>+E171</f>
        <v>226180</v>
      </c>
      <c r="F170" s="2288">
        <f>+F171</f>
        <v>3147374</v>
      </c>
      <c r="G170" s="2288">
        <f t="shared" ref="G170:L170" si="113">+G171</f>
        <v>11854849</v>
      </c>
      <c r="H170" s="2288">
        <f t="shared" si="113"/>
        <v>35571597</v>
      </c>
      <c r="I170" s="2288">
        <f t="shared" si="113"/>
        <v>18450000</v>
      </c>
      <c r="J170" s="2288">
        <f t="shared" si="113"/>
        <v>0</v>
      </c>
      <c r="K170" s="2288">
        <f t="shared" si="113"/>
        <v>0</v>
      </c>
      <c r="L170" s="2288">
        <f t="shared" si="113"/>
        <v>0</v>
      </c>
      <c r="M170" s="3470"/>
      <c r="N170" s="3475"/>
      <c r="O170" s="374"/>
    </row>
    <row r="171" spans="1:15" s="3010" customFormat="1" ht="14.25" customHeight="1" thickBot="1">
      <c r="A171" s="3483"/>
      <c r="B171" s="90" t="s">
        <v>21</v>
      </c>
      <c r="C171" s="3493"/>
      <c r="D171" s="1336">
        <f>E171+F171+G171+H171+I171+J171+K171+L171</f>
        <v>69250000</v>
      </c>
      <c r="E171" s="2298">
        <f>+E187+E202+E229+E214</f>
        <v>226180</v>
      </c>
      <c r="F171" s="2298">
        <f t="shared" ref="F171:L171" si="114">+F187+F202+F229+F214</f>
        <v>3147374</v>
      </c>
      <c r="G171" s="2298">
        <f t="shared" si="114"/>
        <v>11854849</v>
      </c>
      <c r="H171" s="2298">
        <f t="shared" si="114"/>
        <v>35571597</v>
      </c>
      <c r="I171" s="2298">
        <f t="shared" si="114"/>
        <v>18450000</v>
      </c>
      <c r="J171" s="2298">
        <f t="shared" si="114"/>
        <v>0</v>
      </c>
      <c r="K171" s="2298">
        <f>+K187+K202+K229+K214</f>
        <v>0</v>
      </c>
      <c r="L171" s="2298">
        <f t="shared" si="114"/>
        <v>0</v>
      </c>
      <c r="M171" s="3471"/>
      <c r="N171" s="3476"/>
      <c r="O171" s="374"/>
    </row>
    <row r="172" spans="1:15" s="3010" customFormat="1" ht="24" hidden="1" customHeight="1">
      <c r="A172" s="3009"/>
      <c r="B172" s="2299" t="s">
        <v>305</v>
      </c>
      <c r="C172" s="2300"/>
      <c r="D172" s="2301">
        <f>+D188+D203+D215+D230</f>
        <v>18000000</v>
      </c>
      <c r="E172" s="2301">
        <f>+E188+E203+E215+E230</f>
        <v>226180</v>
      </c>
      <c r="F172" s="2301">
        <f t="shared" ref="F172:L172" si="115">+F188+F203+F215+F230</f>
        <v>3147374</v>
      </c>
      <c r="G172" s="2301">
        <f t="shared" si="115"/>
        <v>5294849</v>
      </c>
      <c r="H172" s="2301">
        <f t="shared" si="115"/>
        <v>9331597</v>
      </c>
      <c r="I172" s="2301">
        <f t="shared" si="115"/>
        <v>0</v>
      </c>
      <c r="J172" s="2301">
        <f t="shared" si="115"/>
        <v>0</v>
      </c>
      <c r="K172" s="2301">
        <f t="shared" si="115"/>
        <v>0</v>
      </c>
      <c r="L172" s="2301">
        <f t="shared" si="115"/>
        <v>0</v>
      </c>
      <c r="M172" s="2302"/>
      <c r="N172" s="2303"/>
      <c r="O172" s="374"/>
    </row>
    <row r="173" spans="1:15" s="3010" customFormat="1" ht="24" hidden="1" customHeight="1">
      <c r="A173" s="3009"/>
      <c r="B173" s="836" t="s">
        <v>306</v>
      </c>
      <c r="C173" s="2300"/>
      <c r="D173" s="2291">
        <f>+D204</f>
        <v>10250000</v>
      </c>
      <c r="E173" s="2291">
        <v>0</v>
      </c>
      <c r="F173" s="2291">
        <f t="shared" ref="F173:L173" si="116">+F204</f>
        <v>0</v>
      </c>
      <c r="G173" s="2291">
        <f t="shared" si="116"/>
        <v>6560000</v>
      </c>
      <c r="H173" s="2291">
        <f t="shared" si="116"/>
        <v>3690000</v>
      </c>
      <c r="I173" s="2291">
        <f t="shared" si="116"/>
        <v>0</v>
      </c>
      <c r="J173" s="2291">
        <f t="shared" si="116"/>
        <v>0</v>
      </c>
      <c r="K173" s="2291">
        <f t="shared" si="116"/>
        <v>0</v>
      </c>
      <c r="L173" s="2291">
        <f t="shared" si="116"/>
        <v>0</v>
      </c>
      <c r="M173" s="2302"/>
      <c r="N173" s="2303"/>
      <c r="O173" s="374"/>
    </row>
    <row r="174" spans="1:15" s="3010" customFormat="1" ht="24" hidden="1" customHeight="1" thickBot="1">
      <c r="A174" s="3014"/>
      <c r="B174" s="2304" t="s">
        <v>307</v>
      </c>
      <c r="C174" s="2305"/>
      <c r="D174" s="2298">
        <f>+D231</f>
        <v>41000000</v>
      </c>
      <c r="E174" s="2298">
        <v>0</v>
      </c>
      <c r="F174" s="2298">
        <f t="shared" ref="F174:L174" si="117">+F231</f>
        <v>0</v>
      </c>
      <c r="G174" s="2298">
        <f t="shared" si="117"/>
        <v>0</v>
      </c>
      <c r="H174" s="2298">
        <f t="shared" si="117"/>
        <v>22550000</v>
      </c>
      <c r="I174" s="2298">
        <f t="shared" si="117"/>
        <v>18450000</v>
      </c>
      <c r="J174" s="2298">
        <f t="shared" si="117"/>
        <v>0</v>
      </c>
      <c r="K174" s="2298">
        <f t="shared" si="117"/>
        <v>0</v>
      </c>
      <c r="L174" s="2298">
        <f t="shared" si="117"/>
        <v>0</v>
      </c>
      <c r="M174" s="2306"/>
      <c r="N174" s="2307"/>
      <c r="O174" s="374"/>
    </row>
    <row r="175" spans="1:15" s="3010" customFormat="1" ht="18.75" hidden="1" customHeight="1">
      <c r="A175" s="3440" t="s">
        <v>560</v>
      </c>
      <c r="B175" s="2308" t="s">
        <v>310</v>
      </c>
      <c r="C175" s="2309" t="s">
        <v>111</v>
      </c>
      <c r="D175" s="2310"/>
      <c r="E175" s="2312"/>
      <c r="F175" s="2311"/>
      <c r="G175" s="2311"/>
      <c r="H175" s="2311"/>
      <c r="I175" s="2311"/>
      <c r="J175" s="2311"/>
      <c r="K175" s="2311"/>
      <c r="L175" s="2313"/>
      <c r="M175" s="2314"/>
      <c r="N175" s="2303"/>
      <c r="O175" s="374"/>
    </row>
    <row r="176" spans="1:15" s="3010" customFormat="1" ht="13.5" hidden="1" customHeight="1">
      <c r="A176" s="3440"/>
      <c r="B176" s="91" t="s">
        <v>10</v>
      </c>
      <c r="C176" s="2315"/>
      <c r="D176" s="2316">
        <f t="shared" ref="D176:D188" si="118">SUM(E176:L176)</f>
        <v>0</v>
      </c>
      <c r="E176" s="435">
        <v>0</v>
      </c>
      <c r="F176" s="435">
        <f t="shared" ref="F176:L176" si="119">+F177+F180</f>
        <v>0</v>
      </c>
      <c r="G176" s="435">
        <f t="shared" si="119"/>
        <v>0</v>
      </c>
      <c r="H176" s="435">
        <f t="shared" si="119"/>
        <v>0</v>
      </c>
      <c r="I176" s="435">
        <f t="shared" si="119"/>
        <v>0</v>
      </c>
      <c r="J176" s="435">
        <f t="shared" si="119"/>
        <v>0</v>
      </c>
      <c r="K176" s="435">
        <f t="shared" si="119"/>
        <v>0</v>
      </c>
      <c r="L176" s="435">
        <f t="shared" si="119"/>
        <v>0</v>
      </c>
      <c r="M176" s="438">
        <f t="shared" ref="M176:M182" si="120">SUM(E176:L176)</f>
        <v>0</v>
      </c>
      <c r="N176" s="2303"/>
      <c r="O176" s="374"/>
    </row>
    <row r="177" spans="1:15" s="3010" customFormat="1" ht="13.5" hidden="1" customHeight="1">
      <c r="A177" s="3440"/>
      <c r="B177" s="189" t="s">
        <v>24</v>
      </c>
      <c r="C177" s="3495" t="s">
        <v>317</v>
      </c>
      <c r="D177" s="2317">
        <f t="shared" si="118"/>
        <v>0</v>
      </c>
      <c r="E177" s="407">
        <v>0</v>
      </c>
      <c r="F177" s="407">
        <f t="shared" ref="F177:L177" si="121">+F178+F179</f>
        <v>0</v>
      </c>
      <c r="G177" s="407">
        <f t="shared" si="121"/>
        <v>0</v>
      </c>
      <c r="H177" s="407">
        <f t="shared" si="121"/>
        <v>0</v>
      </c>
      <c r="I177" s="407">
        <f t="shared" si="121"/>
        <v>0</v>
      </c>
      <c r="J177" s="407">
        <f t="shared" si="121"/>
        <v>0</v>
      </c>
      <c r="K177" s="407">
        <f t="shared" si="121"/>
        <v>0</v>
      </c>
      <c r="L177" s="407">
        <f t="shared" si="121"/>
        <v>0</v>
      </c>
      <c r="M177" s="438">
        <f t="shared" si="120"/>
        <v>0</v>
      </c>
      <c r="N177" s="2303"/>
      <c r="O177" s="374"/>
    </row>
    <row r="178" spans="1:15" s="3010" customFormat="1" ht="13.5" hidden="1" customHeight="1">
      <c r="A178" s="3440"/>
      <c r="B178" s="2318" t="s">
        <v>12</v>
      </c>
      <c r="C178" s="3531"/>
      <c r="D178" s="2319">
        <f t="shared" si="118"/>
        <v>0</v>
      </c>
      <c r="E178" s="406"/>
      <c r="F178" s="2319">
        <f>1524390-1524390</f>
        <v>0</v>
      </c>
      <c r="G178" s="2319">
        <f>1840690-1840690</f>
        <v>0</v>
      </c>
      <c r="H178" s="2319"/>
      <c r="I178" s="2319"/>
      <c r="J178" s="2320"/>
      <c r="K178" s="2320"/>
      <c r="L178" s="2320"/>
      <c r="M178" s="2321">
        <f t="shared" si="120"/>
        <v>0</v>
      </c>
      <c r="N178" s="2303"/>
      <c r="O178" s="374"/>
    </row>
    <row r="179" spans="1:15" s="3010" customFormat="1" ht="13.5" hidden="1" customHeight="1">
      <c r="A179" s="3440"/>
      <c r="B179" s="2318" t="s">
        <v>62</v>
      </c>
      <c r="C179" s="3531"/>
      <c r="D179" s="2322">
        <f t="shared" si="118"/>
        <v>0</v>
      </c>
      <c r="E179" s="2323"/>
      <c r="F179" s="2322"/>
      <c r="G179" s="2322"/>
      <c r="H179" s="2322"/>
      <c r="I179" s="2322"/>
      <c r="J179" s="2324"/>
      <c r="K179" s="2324"/>
      <c r="L179" s="2324"/>
      <c r="M179" s="2325">
        <f t="shared" si="120"/>
        <v>0</v>
      </c>
      <c r="N179" s="2303"/>
      <c r="O179" s="374"/>
    </row>
    <row r="180" spans="1:15" s="3010" customFormat="1" ht="13.5" hidden="1" customHeight="1">
      <c r="A180" s="3440"/>
      <c r="B180" s="92" t="s">
        <v>18</v>
      </c>
      <c r="C180" s="3531"/>
      <c r="D180" s="2317">
        <f t="shared" si="118"/>
        <v>0</v>
      </c>
      <c r="E180" s="407">
        <v>0</v>
      </c>
      <c r="F180" s="407">
        <f t="shared" ref="F180:L180" si="122">+F181</f>
        <v>0</v>
      </c>
      <c r="G180" s="407">
        <f t="shared" si="122"/>
        <v>0</v>
      </c>
      <c r="H180" s="407">
        <f t="shared" si="122"/>
        <v>0</v>
      </c>
      <c r="I180" s="407">
        <f t="shared" si="122"/>
        <v>0</v>
      </c>
      <c r="J180" s="407">
        <f t="shared" si="122"/>
        <v>0</v>
      </c>
      <c r="K180" s="407">
        <f t="shared" si="122"/>
        <v>0</v>
      </c>
      <c r="L180" s="407">
        <f t="shared" si="122"/>
        <v>0</v>
      </c>
      <c r="M180" s="2326">
        <f t="shared" si="120"/>
        <v>0</v>
      </c>
      <c r="N180" s="2303"/>
      <c r="O180" s="374"/>
    </row>
    <row r="181" spans="1:15" s="3010" customFormat="1" ht="13.5" hidden="1" customHeight="1">
      <c r="A181" s="3440"/>
      <c r="B181" s="2327" t="s">
        <v>21</v>
      </c>
      <c r="C181" s="3531"/>
      <c r="D181" s="2319">
        <f t="shared" si="118"/>
        <v>0</v>
      </c>
      <c r="E181" s="406">
        <v>0</v>
      </c>
      <c r="F181" s="406">
        <f t="shared" ref="F181:L181" si="123">+F182</f>
        <v>0</v>
      </c>
      <c r="G181" s="406">
        <f t="shared" si="123"/>
        <v>0</v>
      </c>
      <c r="H181" s="406">
        <f t="shared" si="123"/>
        <v>0</v>
      </c>
      <c r="I181" s="406">
        <f t="shared" si="123"/>
        <v>0</v>
      </c>
      <c r="J181" s="406">
        <f t="shared" si="123"/>
        <v>0</v>
      </c>
      <c r="K181" s="406">
        <f t="shared" si="123"/>
        <v>0</v>
      </c>
      <c r="L181" s="406">
        <f t="shared" si="123"/>
        <v>0</v>
      </c>
      <c r="M181" s="2321">
        <f t="shared" si="120"/>
        <v>0</v>
      </c>
      <c r="N181" s="2303"/>
      <c r="O181" s="374"/>
    </row>
    <row r="182" spans="1:15" s="3010" customFormat="1" ht="24.75" hidden="1" customHeight="1">
      <c r="A182" s="3440"/>
      <c r="B182" s="2328" t="s">
        <v>311</v>
      </c>
      <c r="C182" s="3496"/>
      <c r="D182" s="2322">
        <f t="shared" si="118"/>
        <v>0</v>
      </c>
      <c r="E182" s="2323"/>
      <c r="F182" s="2322">
        <f>624800-624800</f>
        <v>0</v>
      </c>
      <c r="G182" s="2322">
        <f>312400-312400</f>
        <v>0</v>
      </c>
      <c r="H182" s="2322"/>
      <c r="I182" s="2322"/>
      <c r="J182" s="2324"/>
      <c r="K182" s="2324"/>
      <c r="L182" s="2322"/>
      <c r="M182" s="2325">
        <f t="shared" si="120"/>
        <v>0</v>
      </c>
      <c r="N182" s="2303"/>
      <c r="O182" s="374"/>
    </row>
    <row r="183" spans="1:15" s="3010" customFormat="1" ht="13.5" hidden="1" customHeight="1">
      <c r="A183" s="3440"/>
      <c r="B183" s="21" t="s">
        <v>308</v>
      </c>
      <c r="C183" s="192"/>
      <c r="D183" s="2329">
        <f t="shared" si="118"/>
        <v>0</v>
      </c>
      <c r="E183" s="2329">
        <v>0</v>
      </c>
      <c r="F183" s="2329">
        <f t="shared" ref="F183:L183" si="124">+F184+F186</f>
        <v>0</v>
      </c>
      <c r="G183" s="2329">
        <f t="shared" si="124"/>
        <v>0</v>
      </c>
      <c r="H183" s="2329">
        <f t="shared" si="124"/>
        <v>0</v>
      </c>
      <c r="I183" s="2329">
        <f t="shared" si="124"/>
        <v>0</v>
      </c>
      <c r="J183" s="2329">
        <f t="shared" si="124"/>
        <v>0</v>
      </c>
      <c r="K183" s="2329">
        <f t="shared" si="124"/>
        <v>0</v>
      </c>
      <c r="L183" s="2329">
        <f t="shared" si="124"/>
        <v>0</v>
      </c>
      <c r="M183" s="3499" t="s">
        <v>61</v>
      </c>
      <c r="N183" s="2303"/>
      <c r="O183" s="374"/>
    </row>
    <row r="184" spans="1:15" s="3010" customFormat="1" ht="13.5" hidden="1" customHeight="1">
      <c r="A184" s="3440"/>
      <c r="B184" s="189" t="s">
        <v>24</v>
      </c>
      <c r="C184" s="3495" t="s">
        <v>317</v>
      </c>
      <c r="D184" s="2330">
        <f t="shared" si="118"/>
        <v>0</v>
      </c>
      <c r="E184" s="2331">
        <v>0</v>
      </c>
      <c r="F184" s="2331">
        <f t="shared" ref="F184:L184" si="125">+F185</f>
        <v>0</v>
      </c>
      <c r="G184" s="2331">
        <f t="shared" si="125"/>
        <v>0</v>
      </c>
      <c r="H184" s="2331">
        <f t="shared" si="125"/>
        <v>0</v>
      </c>
      <c r="I184" s="2331">
        <f t="shared" si="125"/>
        <v>0</v>
      </c>
      <c r="J184" s="2331">
        <f t="shared" si="125"/>
        <v>0</v>
      </c>
      <c r="K184" s="2331">
        <f t="shared" si="125"/>
        <v>0</v>
      </c>
      <c r="L184" s="2331">
        <f t="shared" si="125"/>
        <v>0</v>
      </c>
      <c r="M184" s="3456"/>
      <c r="N184" s="2303"/>
      <c r="O184" s="374"/>
    </row>
    <row r="185" spans="1:15" s="3010" customFormat="1" ht="13.5" hidden="1" customHeight="1">
      <c r="A185" s="3440"/>
      <c r="B185" s="2318" t="s">
        <v>62</v>
      </c>
      <c r="C185" s="3496"/>
      <c r="D185" s="2332">
        <f t="shared" si="118"/>
        <v>0</v>
      </c>
      <c r="E185" s="480"/>
      <c r="F185" s="2333"/>
      <c r="G185" s="2333"/>
      <c r="H185" s="2333"/>
      <c r="I185" s="2333"/>
      <c r="J185" s="2333"/>
      <c r="K185" s="2333"/>
      <c r="L185" s="2333"/>
      <c r="M185" s="3456"/>
      <c r="N185" s="2303"/>
      <c r="O185" s="374"/>
    </row>
    <row r="186" spans="1:15" s="3010" customFormat="1" ht="12" hidden="1" customHeight="1">
      <c r="A186" s="3440"/>
      <c r="B186" s="92" t="s">
        <v>18</v>
      </c>
      <c r="C186" s="3532" t="s">
        <v>277</v>
      </c>
      <c r="D186" s="2334">
        <f t="shared" si="118"/>
        <v>0</v>
      </c>
      <c r="E186" s="2335">
        <v>0</v>
      </c>
      <c r="F186" s="2335">
        <f t="shared" ref="F186:L186" si="126">+F187</f>
        <v>0</v>
      </c>
      <c r="G186" s="2335">
        <f t="shared" si="126"/>
        <v>0</v>
      </c>
      <c r="H186" s="2335">
        <f t="shared" si="126"/>
        <v>0</v>
      </c>
      <c r="I186" s="2335">
        <f t="shared" si="126"/>
        <v>0</v>
      </c>
      <c r="J186" s="2335">
        <f t="shared" si="126"/>
        <v>0</v>
      </c>
      <c r="K186" s="2335">
        <f t="shared" si="126"/>
        <v>0</v>
      </c>
      <c r="L186" s="2335">
        <f t="shared" si="126"/>
        <v>0</v>
      </c>
      <c r="M186" s="3456"/>
      <c r="N186" s="2303"/>
      <c r="O186" s="374"/>
    </row>
    <row r="187" spans="1:15" s="3010" customFormat="1" ht="15" hidden="1" customHeight="1">
      <c r="A187" s="3440"/>
      <c r="B187" s="2327" t="s">
        <v>21</v>
      </c>
      <c r="C187" s="3533"/>
      <c r="D187" s="2332">
        <f t="shared" si="118"/>
        <v>0</v>
      </c>
      <c r="E187" s="480">
        <v>0</v>
      </c>
      <c r="F187" s="480">
        <f t="shared" ref="F187:L187" si="127">+F188</f>
        <v>0</v>
      </c>
      <c r="G187" s="480">
        <f t="shared" si="127"/>
        <v>0</v>
      </c>
      <c r="H187" s="480">
        <f t="shared" si="127"/>
        <v>0</v>
      </c>
      <c r="I187" s="480">
        <f t="shared" si="127"/>
        <v>0</v>
      </c>
      <c r="J187" s="480">
        <f t="shared" si="127"/>
        <v>0</v>
      </c>
      <c r="K187" s="480">
        <f t="shared" si="127"/>
        <v>0</v>
      </c>
      <c r="L187" s="480">
        <f t="shared" si="127"/>
        <v>0</v>
      </c>
      <c r="M187" s="3456"/>
      <c r="N187" s="2303"/>
      <c r="O187" s="374"/>
    </row>
    <row r="188" spans="1:15" s="3010" customFormat="1" ht="24" hidden="1" customHeight="1">
      <c r="A188" s="3015"/>
      <c r="B188" s="2336" t="s">
        <v>305</v>
      </c>
      <c r="C188" s="3533"/>
      <c r="D188" s="2337">
        <f t="shared" si="118"/>
        <v>0</v>
      </c>
      <c r="E188" s="2338"/>
      <c r="F188" s="2337">
        <f>624800-624800</f>
        <v>0</v>
      </c>
      <c r="G188" s="2337">
        <f>312400-312400</f>
        <v>0</v>
      </c>
      <c r="H188" s="2337"/>
      <c r="I188" s="2337"/>
      <c r="J188" s="2337"/>
      <c r="K188" s="2337"/>
      <c r="L188" s="2337"/>
      <c r="M188" s="3456"/>
      <c r="N188" s="2303"/>
      <c r="O188" s="374"/>
    </row>
    <row r="189" spans="1:15" s="3010" customFormat="1" ht="15.75" hidden="1" customHeight="1">
      <c r="A189" s="3501" t="s">
        <v>561</v>
      </c>
      <c r="B189" s="2339" t="s">
        <v>310</v>
      </c>
      <c r="C189" s="2340" t="s">
        <v>81</v>
      </c>
      <c r="D189" s="2341"/>
      <c r="E189" s="2343"/>
      <c r="F189" s="2342"/>
      <c r="G189" s="2342"/>
      <c r="H189" s="2342"/>
      <c r="I189" s="2342"/>
      <c r="J189" s="2342"/>
      <c r="K189" s="2342"/>
      <c r="L189" s="2344"/>
      <c r="M189" s="2345"/>
      <c r="N189" s="2303"/>
      <c r="O189" s="374"/>
    </row>
    <row r="190" spans="1:15" s="3010" customFormat="1" ht="13.5" hidden="1" customHeight="1">
      <c r="A190" s="3440"/>
      <c r="B190" s="208" t="s">
        <v>10</v>
      </c>
      <c r="C190" s="2346"/>
      <c r="D190" s="483">
        <f t="shared" ref="D190:D197" si="128">SUM(E190:L190)</f>
        <v>32632770</v>
      </c>
      <c r="E190" s="2347">
        <f t="shared" ref="E190" si="129">+E191+E194</f>
        <v>360377</v>
      </c>
      <c r="F190" s="2347">
        <f t="shared" ref="F190:L190" si="130">+F191+F194</f>
        <v>3213177</v>
      </c>
      <c r="G190" s="2347">
        <f t="shared" si="130"/>
        <v>16037619</v>
      </c>
      <c r="H190" s="2347">
        <f t="shared" si="130"/>
        <v>13021597</v>
      </c>
      <c r="I190" s="2347">
        <f t="shared" si="130"/>
        <v>0</v>
      </c>
      <c r="J190" s="2347">
        <f t="shared" si="130"/>
        <v>0</v>
      </c>
      <c r="K190" s="2347">
        <f t="shared" si="130"/>
        <v>0</v>
      </c>
      <c r="L190" s="2347">
        <f t="shared" si="130"/>
        <v>0</v>
      </c>
      <c r="M190" s="2287">
        <f>+M191+M194</f>
        <v>32272393</v>
      </c>
      <c r="N190" s="2303"/>
      <c r="O190" s="374"/>
    </row>
    <row r="191" spans="1:15" s="3010" customFormat="1" ht="14.25" hidden="1" customHeight="1">
      <c r="A191" s="3440"/>
      <c r="B191" s="256" t="s">
        <v>24</v>
      </c>
      <c r="C191" s="3495" t="s">
        <v>317</v>
      </c>
      <c r="D191" s="2348">
        <f t="shared" si="128"/>
        <v>4382770</v>
      </c>
      <c r="E191" s="2349">
        <f t="shared" ref="E191" si="131">+E192+E193</f>
        <v>0</v>
      </c>
      <c r="F191" s="2349">
        <f t="shared" ref="F191:L191" si="132">+F192+F193</f>
        <v>200000</v>
      </c>
      <c r="G191" s="2349">
        <f t="shared" si="132"/>
        <v>4182770</v>
      </c>
      <c r="H191" s="2349">
        <f t="shared" si="132"/>
        <v>0</v>
      </c>
      <c r="I191" s="2349">
        <f t="shared" si="132"/>
        <v>0</v>
      </c>
      <c r="J191" s="2349">
        <f t="shared" si="132"/>
        <v>0</v>
      </c>
      <c r="K191" s="2349">
        <f t="shared" si="132"/>
        <v>0</v>
      </c>
      <c r="L191" s="2349">
        <f t="shared" si="132"/>
        <v>0</v>
      </c>
      <c r="M191" s="2350">
        <f>SUM(E191:L191)</f>
        <v>4382770</v>
      </c>
      <c r="N191" s="2303"/>
      <c r="O191" s="374"/>
    </row>
    <row r="192" spans="1:15" s="3010" customFormat="1" ht="15" hidden="1" customHeight="1">
      <c r="A192" s="3440"/>
      <c r="B192" s="2318" t="s">
        <v>12</v>
      </c>
      <c r="C192" s="3531"/>
      <c r="D192" s="2351">
        <f t="shared" si="128"/>
        <v>4382770</v>
      </c>
      <c r="E192" s="2352">
        <v>0</v>
      </c>
      <c r="F192" s="2351">
        <f>2771900+1650960-4222860</f>
        <v>200000</v>
      </c>
      <c r="G192" s="2351">
        <f>1331570+1528290+1746993-424083</f>
        <v>4182770</v>
      </c>
      <c r="H192" s="2351">
        <f>504177+3517230-4021407</f>
        <v>0</v>
      </c>
      <c r="I192" s="2351"/>
      <c r="J192" s="2351"/>
      <c r="K192" s="2351"/>
      <c r="L192" s="2351"/>
      <c r="M192" s="2353">
        <f>SUM(E192:L192)</f>
        <v>4382770</v>
      </c>
      <c r="N192" s="2303"/>
      <c r="O192" s="374"/>
    </row>
    <row r="193" spans="1:15" s="3010" customFormat="1" ht="17.25" hidden="1" customHeight="1">
      <c r="A193" s="3440"/>
      <c r="B193" s="2318" t="s">
        <v>62</v>
      </c>
      <c r="C193" s="3531"/>
      <c r="D193" s="2354">
        <f t="shared" si="128"/>
        <v>0</v>
      </c>
      <c r="E193" s="2355"/>
      <c r="F193" s="2354"/>
      <c r="G193" s="2354"/>
      <c r="H193" s="2354"/>
      <c r="I193" s="2354"/>
      <c r="J193" s="2354"/>
      <c r="K193" s="2354"/>
      <c r="L193" s="2354"/>
      <c r="M193" s="2356">
        <f>SUM(E193:L193)</f>
        <v>0</v>
      </c>
      <c r="N193" s="2303"/>
      <c r="O193" s="374"/>
    </row>
    <row r="194" spans="1:15" s="315" customFormat="1" ht="15.75" hidden="1" customHeight="1">
      <c r="A194" s="3440"/>
      <c r="B194" s="1239" t="s">
        <v>18</v>
      </c>
      <c r="C194" s="3531"/>
      <c r="D194" s="2348">
        <f t="shared" si="128"/>
        <v>28250000</v>
      </c>
      <c r="E194" s="2348">
        <f>+E195</f>
        <v>360377</v>
      </c>
      <c r="F194" s="2348">
        <f>+F195</f>
        <v>3013177</v>
      </c>
      <c r="G194" s="2348">
        <f t="shared" ref="G194:L194" si="133">+G195</f>
        <v>11854849</v>
      </c>
      <c r="H194" s="2348">
        <f t="shared" si="133"/>
        <v>13021597</v>
      </c>
      <c r="I194" s="2348">
        <f t="shared" si="133"/>
        <v>0</v>
      </c>
      <c r="J194" s="2348">
        <f t="shared" si="133"/>
        <v>0</v>
      </c>
      <c r="K194" s="2348">
        <f t="shared" si="133"/>
        <v>0</v>
      </c>
      <c r="L194" s="2348">
        <f t="shared" si="133"/>
        <v>0</v>
      </c>
      <c r="M194" s="2350">
        <f>+H194+G194+F194</f>
        <v>27889623</v>
      </c>
      <c r="N194" s="2303"/>
      <c r="O194" s="429"/>
    </row>
    <row r="195" spans="1:15" s="3010" customFormat="1" ht="13.5" hidden="1" customHeight="1">
      <c r="A195" s="3440"/>
      <c r="B195" s="2327" t="s">
        <v>21</v>
      </c>
      <c r="C195" s="3531"/>
      <c r="D195" s="2351">
        <f t="shared" si="128"/>
        <v>28250000</v>
      </c>
      <c r="E195" s="2352">
        <f>+E196+E197</f>
        <v>360377</v>
      </c>
      <c r="F195" s="2352">
        <f>+F196+F197</f>
        <v>3013177</v>
      </c>
      <c r="G195" s="2352">
        <f t="shared" ref="G195:L195" si="134">+G196+G197</f>
        <v>11854849</v>
      </c>
      <c r="H195" s="2352">
        <f t="shared" si="134"/>
        <v>13021597</v>
      </c>
      <c r="I195" s="2352">
        <f t="shared" si="134"/>
        <v>0</v>
      </c>
      <c r="J195" s="2352">
        <f t="shared" si="134"/>
        <v>0</v>
      </c>
      <c r="K195" s="2352">
        <f t="shared" si="134"/>
        <v>0</v>
      </c>
      <c r="L195" s="2352">
        <f t="shared" si="134"/>
        <v>0</v>
      </c>
      <c r="M195" s="2353">
        <f>+H195+G195+F195</f>
        <v>27889623</v>
      </c>
      <c r="N195" s="2303"/>
      <c r="O195" s="374"/>
    </row>
    <row r="196" spans="1:15" s="3010" customFormat="1" ht="27" hidden="1" customHeight="1">
      <c r="A196" s="3440"/>
      <c r="B196" s="2328" t="s">
        <v>305</v>
      </c>
      <c r="C196" s="3531"/>
      <c r="D196" s="2354">
        <f t="shared" si="128"/>
        <v>18000000</v>
      </c>
      <c r="E196" s="2355">
        <v>360377</v>
      </c>
      <c r="F196" s="2354">
        <f>6627800+624800-3893137-346286</f>
        <v>3013177</v>
      </c>
      <c r="G196" s="2354">
        <f>8003000+624800+1372200+2609637-7314788</f>
        <v>5294849</v>
      </c>
      <c r="H196" s="2354">
        <f>3584737+432072+5314788</f>
        <v>9331597</v>
      </c>
      <c r="I196" s="2354">
        <v>0</v>
      </c>
      <c r="J196" s="2354">
        <v>0</v>
      </c>
      <c r="K196" s="2354">
        <v>0</v>
      </c>
      <c r="L196" s="2354">
        <v>0</v>
      </c>
      <c r="M196" s="2356">
        <f>SUM(E196:L196)</f>
        <v>18000000</v>
      </c>
      <c r="N196" s="2303"/>
      <c r="O196" s="374"/>
    </row>
    <row r="197" spans="1:15" s="3010" customFormat="1" ht="21.75" hidden="1" customHeight="1">
      <c r="A197" s="3440"/>
      <c r="B197" s="2328" t="s">
        <v>306</v>
      </c>
      <c r="C197" s="3496"/>
      <c r="D197" s="2354">
        <f t="shared" si="128"/>
        <v>10250000</v>
      </c>
      <c r="E197" s="2355">
        <v>0</v>
      </c>
      <c r="F197" s="2354">
        <f>3000000-3000000</f>
        <v>0</v>
      </c>
      <c r="G197" s="2354">
        <f>7000000+143000-583000</f>
        <v>6560000</v>
      </c>
      <c r="H197" s="2354">
        <f>2857000+833000</f>
        <v>3690000</v>
      </c>
      <c r="I197" s="2354">
        <v>0</v>
      </c>
      <c r="J197" s="2354">
        <v>0</v>
      </c>
      <c r="K197" s="2354">
        <v>0</v>
      </c>
      <c r="L197" s="2354">
        <v>0</v>
      </c>
      <c r="M197" s="2356">
        <f>SUM(E197:L197)</f>
        <v>10250000</v>
      </c>
      <c r="N197" s="2303"/>
      <c r="O197" s="374"/>
    </row>
    <row r="198" spans="1:15" s="3010" customFormat="1" ht="17.25" hidden="1" customHeight="1">
      <c r="A198" s="3440"/>
      <c r="B198" s="208" t="s">
        <v>308</v>
      </c>
      <c r="C198" s="192"/>
      <c r="D198" s="2347">
        <f t="shared" ref="D198:L198" si="135">+D199+D201</f>
        <v>28250000</v>
      </c>
      <c r="E198" s="2347">
        <f t="shared" ref="E198" si="136">+E199+E201</f>
        <v>226180</v>
      </c>
      <c r="F198" s="2347">
        <f t="shared" si="135"/>
        <v>3147374</v>
      </c>
      <c r="G198" s="2347">
        <f t="shared" si="135"/>
        <v>11854849</v>
      </c>
      <c r="H198" s="2347">
        <f t="shared" si="135"/>
        <v>13021597</v>
      </c>
      <c r="I198" s="2347">
        <f t="shared" si="135"/>
        <v>0</v>
      </c>
      <c r="J198" s="2347">
        <f t="shared" si="135"/>
        <v>0</v>
      </c>
      <c r="K198" s="2347">
        <f t="shared" si="135"/>
        <v>0</v>
      </c>
      <c r="L198" s="2347">
        <f t="shared" si="135"/>
        <v>0</v>
      </c>
      <c r="M198" s="3497" t="s">
        <v>61</v>
      </c>
      <c r="N198" s="2303"/>
      <c r="O198" s="374"/>
    </row>
    <row r="199" spans="1:15" s="3010" customFormat="1" ht="13.5" hidden="1" customHeight="1">
      <c r="A199" s="3440"/>
      <c r="B199" s="256" t="s">
        <v>24</v>
      </c>
      <c r="C199" s="3495" t="s">
        <v>317</v>
      </c>
      <c r="D199" s="2348">
        <f t="shared" ref="D199:D204" si="137">SUM(E199:L199)</f>
        <v>0</v>
      </c>
      <c r="E199" s="2349">
        <f t="shared" ref="E199:L199" si="138">+E200</f>
        <v>0</v>
      </c>
      <c r="F199" s="2349">
        <f t="shared" si="138"/>
        <v>0</v>
      </c>
      <c r="G199" s="2349">
        <f t="shared" si="138"/>
        <v>0</v>
      </c>
      <c r="H199" s="2349">
        <f t="shared" si="138"/>
        <v>0</v>
      </c>
      <c r="I199" s="2349">
        <f t="shared" si="138"/>
        <v>0</v>
      </c>
      <c r="J199" s="2349">
        <f t="shared" si="138"/>
        <v>0</v>
      </c>
      <c r="K199" s="2349">
        <f t="shared" si="138"/>
        <v>0</v>
      </c>
      <c r="L199" s="2349">
        <f t="shared" si="138"/>
        <v>0</v>
      </c>
      <c r="M199" s="3470"/>
      <c r="N199" s="2303"/>
      <c r="O199" s="374"/>
    </row>
    <row r="200" spans="1:15" s="3010" customFormat="1" ht="15" hidden="1" customHeight="1">
      <c r="A200" s="3440"/>
      <c r="B200" s="2318" t="s">
        <v>62</v>
      </c>
      <c r="C200" s="3496"/>
      <c r="D200" s="2354">
        <f t="shared" si="137"/>
        <v>0</v>
      </c>
      <c r="E200" s="2354"/>
      <c r="F200" s="2354"/>
      <c r="G200" s="2354"/>
      <c r="H200" s="2354"/>
      <c r="I200" s="2354"/>
      <c r="J200" s="2354"/>
      <c r="K200" s="2354"/>
      <c r="L200" s="2354"/>
      <c r="M200" s="3470"/>
      <c r="N200" s="2303"/>
      <c r="O200" s="374"/>
    </row>
    <row r="201" spans="1:15" s="3010" customFormat="1" ht="18.75" hidden="1" customHeight="1">
      <c r="A201" s="3440"/>
      <c r="B201" s="1239" t="s">
        <v>18</v>
      </c>
      <c r="C201" s="3495" t="s">
        <v>323</v>
      </c>
      <c r="D201" s="2348">
        <f t="shared" si="137"/>
        <v>28250000</v>
      </c>
      <c r="E201" s="2349">
        <f t="shared" ref="E201:L201" si="139">+E202</f>
        <v>226180</v>
      </c>
      <c r="F201" s="2349">
        <f t="shared" si="139"/>
        <v>3147374</v>
      </c>
      <c r="G201" s="2349">
        <f t="shared" si="139"/>
        <v>11854849</v>
      </c>
      <c r="H201" s="2349">
        <f t="shared" si="139"/>
        <v>13021597</v>
      </c>
      <c r="I201" s="2349">
        <f t="shared" si="139"/>
        <v>0</v>
      </c>
      <c r="J201" s="2349">
        <f t="shared" si="139"/>
        <v>0</v>
      </c>
      <c r="K201" s="2349">
        <f t="shared" si="139"/>
        <v>0</v>
      </c>
      <c r="L201" s="2349">
        <f t="shared" si="139"/>
        <v>0</v>
      </c>
      <c r="M201" s="3470"/>
      <c r="N201" s="2303"/>
      <c r="O201" s="374"/>
    </row>
    <row r="202" spans="1:15" s="3010" customFormat="1" ht="18" hidden="1" customHeight="1">
      <c r="A202" s="3502"/>
      <c r="B202" s="534" t="s">
        <v>21</v>
      </c>
      <c r="C202" s="3537"/>
      <c r="D202" s="2351">
        <f t="shared" si="137"/>
        <v>28250000</v>
      </c>
      <c r="E202" s="2351">
        <f t="shared" ref="E202:L202" si="140">+E203+E204</f>
        <v>226180</v>
      </c>
      <c r="F202" s="2351">
        <f t="shared" si="140"/>
        <v>3147374</v>
      </c>
      <c r="G202" s="2351">
        <f t="shared" si="140"/>
        <v>11854849</v>
      </c>
      <c r="H202" s="2351">
        <f t="shared" si="140"/>
        <v>13021597</v>
      </c>
      <c r="I202" s="2351">
        <f t="shared" si="140"/>
        <v>0</v>
      </c>
      <c r="J202" s="2351">
        <f t="shared" si="140"/>
        <v>0</v>
      </c>
      <c r="K202" s="2351">
        <f t="shared" si="140"/>
        <v>0</v>
      </c>
      <c r="L202" s="2351">
        <f t="shared" si="140"/>
        <v>0</v>
      </c>
      <c r="M202" s="3470"/>
      <c r="N202" s="2303"/>
      <c r="O202" s="374"/>
    </row>
    <row r="203" spans="1:15" s="3010" customFormat="1" ht="22.5" hidden="1" customHeight="1">
      <c r="A203" s="2357"/>
      <c r="B203" s="2299" t="s">
        <v>312</v>
      </c>
      <c r="C203" s="3011" t="s">
        <v>277</v>
      </c>
      <c r="D203" s="2354">
        <f t="shared" si="137"/>
        <v>18000000</v>
      </c>
      <c r="E203" s="2355">
        <v>226180</v>
      </c>
      <c r="F203" s="2354">
        <f>6627800+624800-3893137-212089</f>
        <v>3147374</v>
      </c>
      <c r="G203" s="2354">
        <f>8003000+624800+1372200+2609637-7314788</f>
        <v>5294849</v>
      </c>
      <c r="H203" s="2354">
        <f>3584737+432072+5314788</f>
        <v>9331597</v>
      </c>
      <c r="I203" s="2354"/>
      <c r="J203" s="2354"/>
      <c r="K203" s="2354"/>
      <c r="L203" s="2354"/>
      <c r="M203" s="3470"/>
      <c r="N203" s="2303"/>
      <c r="O203" s="374"/>
    </row>
    <row r="204" spans="1:15" s="3010" customFormat="1" ht="24" hidden="1" customHeight="1">
      <c r="A204" s="2357"/>
      <c r="B204" s="2328" t="s">
        <v>313</v>
      </c>
      <c r="C204" s="3011" t="s">
        <v>243</v>
      </c>
      <c r="D204" s="2351">
        <f t="shared" si="137"/>
        <v>10250000</v>
      </c>
      <c r="E204" s="2352"/>
      <c r="F204" s="2351">
        <f>3000000-3000000</f>
        <v>0</v>
      </c>
      <c r="G204" s="2351">
        <f>7000000+143000-583000</f>
        <v>6560000</v>
      </c>
      <c r="H204" s="2351">
        <f>2857000+833000</f>
        <v>3690000</v>
      </c>
      <c r="I204" s="2351"/>
      <c r="J204" s="2351"/>
      <c r="K204" s="2351"/>
      <c r="L204" s="2351"/>
      <c r="M204" s="3498"/>
      <c r="N204" s="2303"/>
      <c r="O204" s="374"/>
    </row>
    <row r="205" spans="1:15" s="3010" customFormat="1" ht="15" hidden="1" customHeight="1">
      <c r="A205" s="3440" t="s">
        <v>330</v>
      </c>
      <c r="B205" s="2308" t="s">
        <v>314</v>
      </c>
      <c r="C205" s="2309" t="s">
        <v>111</v>
      </c>
      <c r="D205" s="2358"/>
      <c r="E205" s="2360"/>
      <c r="F205" s="2359"/>
      <c r="G205" s="2359"/>
      <c r="H205" s="2359"/>
      <c r="I205" s="2359"/>
      <c r="J205" s="2359"/>
      <c r="K205" s="2359"/>
      <c r="L205" s="2361"/>
      <c r="M205" s="2362"/>
      <c r="N205" s="2303"/>
      <c r="O205" s="374"/>
    </row>
    <row r="206" spans="1:15" s="3010" customFormat="1" ht="13.5" hidden="1" customHeight="1">
      <c r="A206" s="3440"/>
      <c r="B206" s="91" t="s">
        <v>10</v>
      </c>
      <c r="C206" s="2363"/>
      <c r="D206" s="2316">
        <f>+D207+D209</f>
        <v>0</v>
      </c>
      <c r="E206" s="2316">
        <v>0</v>
      </c>
      <c r="F206" s="2316">
        <f t="shared" ref="F206:L206" si="141">+F207+F209</f>
        <v>0</v>
      </c>
      <c r="G206" s="2316">
        <f t="shared" si="141"/>
        <v>0</v>
      </c>
      <c r="H206" s="2316">
        <f t="shared" si="141"/>
        <v>0</v>
      </c>
      <c r="I206" s="2316">
        <f t="shared" si="141"/>
        <v>0</v>
      </c>
      <c r="J206" s="2316">
        <f t="shared" si="141"/>
        <v>0</v>
      </c>
      <c r="K206" s="2316">
        <f t="shared" si="141"/>
        <v>0</v>
      </c>
      <c r="L206" s="2316">
        <f t="shared" si="141"/>
        <v>0</v>
      </c>
      <c r="M206" s="2364">
        <f>+M207+M209</f>
        <v>0</v>
      </c>
      <c r="N206" s="2303"/>
      <c r="O206" s="374"/>
    </row>
    <row r="207" spans="1:15" s="3010" customFormat="1" ht="13.5" hidden="1" customHeight="1">
      <c r="A207" s="3440"/>
      <c r="B207" s="2365" t="s">
        <v>24</v>
      </c>
      <c r="C207" s="3538" t="s">
        <v>317</v>
      </c>
      <c r="D207" s="2330">
        <f>SUM(E207:L207)</f>
        <v>0</v>
      </c>
      <c r="E207" s="2331">
        <v>0</v>
      </c>
      <c r="F207" s="2331">
        <f t="shared" ref="F207:L207" si="142">+F208</f>
        <v>0</v>
      </c>
      <c r="G207" s="2331">
        <f t="shared" si="142"/>
        <v>0</v>
      </c>
      <c r="H207" s="2331">
        <f t="shared" si="142"/>
        <v>0</v>
      </c>
      <c r="I207" s="2331">
        <f t="shared" si="142"/>
        <v>0</v>
      </c>
      <c r="J207" s="2331">
        <f t="shared" si="142"/>
        <v>0</v>
      </c>
      <c r="K207" s="2331">
        <f t="shared" si="142"/>
        <v>0</v>
      </c>
      <c r="L207" s="2331">
        <f t="shared" si="142"/>
        <v>0</v>
      </c>
      <c r="M207" s="2366">
        <f>SUM(E207:L207)</f>
        <v>0</v>
      </c>
      <c r="N207" s="2303"/>
      <c r="O207" s="374"/>
    </row>
    <row r="208" spans="1:15" s="3010" customFormat="1" ht="13.5" hidden="1" customHeight="1">
      <c r="A208" s="3440"/>
      <c r="B208" s="2367" t="s">
        <v>12</v>
      </c>
      <c r="C208" s="3539"/>
      <c r="D208" s="2333">
        <f>SUM(E208:L208)</f>
        <v>0</v>
      </c>
      <c r="E208" s="2368">
        <v>0</v>
      </c>
      <c r="F208" s="2333">
        <v>0</v>
      </c>
      <c r="G208" s="2333">
        <v>0</v>
      </c>
      <c r="H208" s="2333">
        <v>0</v>
      </c>
      <c r="I208" s="2333">
        <v>0</v>
      </c>
      <c r="J208" s="2333">
        <v>0</v>
      </c>
      <c r="K208" s="2333">
        <v>0</v>
      </c>
      <c r="L208" s="2333"/>
      <c r="M208" s="2369">
        <f>SUM(E208:L208)</f>
        <v>0</v>
      </c>
      <c r="N208" s="2303"/>
      <c r="O208" s="374"/>
    </row>
    <row r="209" spans="1:15" s="3010" customFormat="1" ht="13.5" hidden="1" customHeight="1">
      <c r="A209" s="3440"/>
      <c r="B209" s="92" t="s">
        <v>18</v>
      </c>
      <c r="C209" s="3534" t="s">
        <v>155</v>
      </c>
      <c r="D209" s="2330">
        <f>SUM(E209:L209)</f>
        <v>0</v>
      </c>
      <c r="E209" s="2331">
        <v>0</v>
      </c>
      <c r="F209" s="2331">
        <f t="shared" ref="F209:L209" si="143">+F210</f>
        <v>0</v>
      </c>
      <c r="G209" s="2331">
        <f t="shared" si="143"/>
        <v>0</v>
      </c>
      <c r="H209" s="2331">
        <f t="shared" si="143"/>
        <v>0</v>
      </c>
      <c r="I209" s="2331">
        <f t="shared" si="143"/>
        <v>0</v>
      </c>
      <c r="J209" s="2331">
        <f t="shared" si="143"/>
        <v>0</v>
      </c>
      <c r="K209" s="2331">
        <f t="shared" si="143"/>
        <v>0</v>
      </c>
      <c r="L209" s="2331">
        <f t="shared" si="143"/>
        <v>0</v>
      </c>
      <c r="M209" s="2366">
        <f>SUM(E209:L209)</f>
        <v>0</v>
      </c>
      <c r="N209" s="2303"/>
      <c r="O209" s="374"/>
    </row>
    <row r="210" spans="1:15" s="3010" customFormat="1" ht="13.5" hidden="1" customHeight="1">
      <c r="A210" s="3440"/>
      <c r="B210" s="2327" t="s">
        <v>21</v>
      </c>
      <c r="C210" s="3535"/>
      <c r="D210" s="2332">
        <f>SUM(E210:L210)</f>
        <v>0</v>
      </c>
      <c r="E210" s="480">
        <v>0</v>
      </c>
      <c r="F210" s="480">
        <f t="shared" ref="F210:L210" si="144">+F211</f>
        <v>0</v>
      </c>
      <c r="G210" s="480">
        <f t="shared" si="144"/>
        <v>0</v>
      </c>
      <c r="H210" s="480">
        <f t="shared" si="144"/>
        <v>0</v>
      </c>
      <c r="I210" s="480">
        <f t="shared" si="144"/>
        <v>0</v>
      </c>
      <c r="J210" s="480">
        <f t="shared" si="144"/>
        <v>0</v>
      </c>
      <c r="K210" s="480">
        <f t="shared" si="144"/>
        <v>0</v>
      </c>
      <c r="L210" s="480">
        <f t="shared" si="144"/>
        <v>0</v>
      </c>
      <c r="M210" s="2370">
        <f>SUM(E210:L210)</f>
        <v>0</v>
      </c>
      <c r="N210" s="2303"/>
      <c r="O210" s="374"/>
    </row>
    <row r="211" spans="1:15" s="3010" customFormat="1" ht="22.5" hidden="1" customHeight="1">
      <c r="A211" s="3440"/>
      <c r="B211" s="2371" t="s">
        <v>311</v>
      </c>
      <c r="C211" s="3536"/>
      <c r="D211" s="2333">
        <f>SUM(E211:L211)</f>
        <v>0</v>
      </c>
      <c r="E211" s="2368">
        <v>0</v>
      </c>
      <c r="F211" s="2333">
        <v>0</v>
      </c>
      <c r="G211" s="2333">
        <f>312400-312400</f>
        <v>0</v>
      </c>
      <c r="H211" s="2333">
        <f>624800-624800</f>
        <v>0</v>
      </c>
      <c r="I211" s="2333">
        <f>625000-625000</f>
        <v>0</v>
      </c>
      <c r="J211" s="2333">
        <v>0</v>
      </c>
      <c r="K211" s="2333">
        <v>0</v>
      </c>
      <c r="L211" s="2333">
        <v>0</v>
      </c>
      <c r="M211" s="2369">
        <f>SUM(E211:L211)</f>
        <v>0</v>
      </c>
      <c r="N211" s="2303"/>
      <c r="O211" s="374"/>
    </row>
    <row r="212" spans="1:15" s="3010" customFormat="1" ht="13.5" hidden="1" customHeight="1">
      <c r="A212" s="3440"/>
      <c r="B212" s="91" t="s">
        <v>308</v>
      </c>
      <c r="C212" s="197"/>
      <c r="D212" s="435">
        <f>+D213</f>
        <v>0</v>
      </c>
      <c r="E212" s="435">
        <v>0</v>
      </c>
      <c r="F212" s="435">
        <f t="shared" ref="F212:L212" si="145">+F213</f>
        <v>0</v>
      </c>
      <c r="G212" s="435">
        <f t="shared" si="145"/>
        <v>0</v>
      </c>
      <c r="H212" s="435">
        <f t="shared" si="145"/>
        <v>0</v>
      </c>
      <c r="I212" s="435">
        <f t="shared" si="145"/>
        <v>0</v>
      </c>
      <c r="J212" s="435">
        <f t="shared" si="145"/>
        <v>0</v>
      </c>
      <c r="K212" s="435">
        <f t="shared" si="145"/>
        <v>0</v>
      </c>
      <c r="L212" s="435">
        <f t="shared" si="145"/>
        <v>0</v>
      </c>
      <c r="M212" s="3499" t="s">
        <v>61</v>
      </c>
      <c r="N212" s="2303"/>
      <c r="O212" s="374"/>
    </row>
    <row r="213" spans="1:15" s="3010" customFormat="1" ht="13.5" hidden="1" customHeight="1">
      <c r="A213" s="3440"/>
      <c r="B213" s="92" t="s">
        <v>18</v>
      </c>
      <c r="C213" s="3534" t="s">
        <v>277</v>
      </c>
      <c r="D213" s="2330">
        <f>SUM(E213:L213)</f>
        <v>0</v>
      </c>
      <c r="E213" s="500">
        <v>0</v>
      </c>
      <c r="F213" s="500">
        <f t="shared" ref="F213:L214" si="146">+F214</f>
        <v>0</v>
      </c>
      <c r="G213" s="500">
        <f t="shared" si="146"/>
        <v>0</v>
      </c>
      <c r="H213" s="500">
        <f t="shared" si="146"/>
        <v>0</v>
      </c>
      <c r="I213" s="500">
        <f t="shared" si="146"/>
        <v>0</v>
      </c>
      <c r="J213" s="500">
        <f t="shared" si="146"/>
        <v>0</v>
      </c>
      <c r="K213" s="500">
        <f t="shared" si="146"/>
        <v>0</v>
      </c>
      <c r="L213" s="500">
        <f t="shared" si="146"/>
        <v>0</v>
      </c>
      <c r="M213" s="3456"/>
      <c r="N213" s="2303"/>
      <c r="O213" s="374"/>
    </row>
    <row r="214" spans="1:15" s="3010" customFormat="1" ht="13.5" hidden="1" customHeight="1" thickBot="1">
      <c r="A214" s="3483"/>
      <c r="B214" s="90" t="s">
        <v>21</v>
      </c>
      <c r="C214" s="3543"/>
      <c r="D214" s="2372">
        <f>SUM(E214:L214)</f>
        <v>0</v>
      </c>
      <c r="E214" s="198">
        <v>0</v>
      </c>
      <c r="F214" s="198">
        <f t="shared" si="146"/>
        <v>0</v>
      </c>
      <c r="G214" s="198">
        <f t="shared" si="146"/>
        <v>0</v>
      </c>
      <c r="H214" s="198">
        <f t="shared" si="146"/>
        <v>0</v>
      </c>
      <c r="I214" s="198">
        <f t="shared" si="146"/>
        <v>0</v>
      </c>
      <c r="J214" s="198">
        <f t="shared" si="146"/>
        <v>0</v>
      </c>
      <c r="K214" s="198">
        <f t="shared" si="146"/>
        <v>0</v>
      </c>
      <c r="L214" s="198">
        <f t="shared" si="146"/>
        <v>0</v>
      </c>
      <c r="M214" s="3457"/>
      <c r="N214" s="2307"/>
      <c r="O214" s="374">
        <f>+D210+D221</f>
        <v>41000000</v>
      </c>
    </row>
    <row r="215" spans="1:15" s="3010" customFormat="1" ht="12" hidden="1" customHeight="1" thickBot="1">
      <c r="A215" s="2373"/>
      <c r="B215" s="2374" t="s">
        <v>305</v>
      </c>
      <c r="C215" s="2375"/>
      <c r="D215" s="2376">
        <f>SUM(E215:L215)</f>
        <v>0</v>
      </c>
      <c r="E215" s="2377"/>
      <c r="F215" s="2376">
        <v>0</v>
      </c>
      <c r="G215" s="2376">
        <f>312400-312400</f>
        <v>0</v>
      </c>
      <c r="H215" s="2376">
        <f>624800-624800</f>
        <v>0</v>
      </c>
      <c r="I215" s="2376">
        <f>625000-625000</f>
        <v>0</v>
      </c>
      <c r="J215" s="2378"/>
      <c r="K215" s="2378"/>
      <c r="L215" s="2376"/>
      <c r="M215" s="2379"/>
      <c r="N215" s="2307"/>
      <c r="O215" s="374"/>
    </row>
    <row r="216" spans="1:15" s="3010" customFormat="1" ht="16.5" hidden="1" customHeight="1">
      <c r="A216" s="3440" t="s">
        <v>329</v>
      </c>
      <c r="B216" s="2308" t="s">
        <v>314</v>
      </c>
      <c r="C216" s="2380" t="s">
        <v>81</v>
      </c>
      <c r="D216" s="2310"/>
      <c r="E216" s="2312"/>
      <c r="F216" s="2311"/>
      <c r="G216" s="2311"/>
      <c r="H216" s="2311"/>
      <c r="I216" s="2311"/>
      <c r="J216" s="2311"/>
      <c r="K216" s="2311"/>
      <c r="L216" s="2313"/>
      <c r="M216" s="2381"/>
      <c r="N216" s="2303"/>
      <c r="O216" s="374"/>
    </row>
    <row r="217" spans="1:15" s="3010" customFormat="1" ht="13.5" hidden="1" customHeight="1">
      <c r="A217" s="3440"/>
      <c r="B217" s="91" t="s">
        <v>10</v>
      </c>
      <c r="C217" s="2382"/>
      <c r="D217" s="2316">
        <f t="shared" ref="D217:M217" si="147">+D218+D221</f>
        <v>65519340</v>
      </c>
      <c r="E217" s="2316">
        <v>0</v>
      </c>
      <c r="F217" s="2316">
        <f t="shared" si="147"/>
        <v>0</v>
      </c>
      <c r="G217" s="2316">
        <f t="shared" si="147"/>
        <v>298890</v>
      </c>
      <c r="H217" s="2316">
        <f t="shared" si="147"/>
        <v>35885195</v>
      </c>
      <c r="I217" s="2316">
        <f t="shared" si="147"/>
        <v>29335255</v>
      </c>
      <c r="J217" s="2316">
        <f t="shared" si="147"/>
        <v>0</v>
      </c>
      <c r="K217" s="2316">
        <f t="shared" si="147"/>
        <v>0</v>
      </c>
      <c r="L217" s="2316">
        <f t="shared" si="147"/>
        <v>0</v>
      </c>
      <c r="M217" s="438">
        <f t="shared" si="147"/>
        <v>65519340</v>
      </c>
      <c r="N217" s="2303"/>
      <c r="O217" s="374"/>
    </row>
    <row r="218" spans="1:15" s="3010" customFormat="1" ht="13.5" hidden="1" customHeight="1">
      <c r="A218" s="3440"/>
      <c r="B218" s="2365" t="s">
        <v>24</v>
      </c>
      <c r="C218" s="3495" t="s">
        <v>317</v>
      </c>
      <c r="D218" s="2317">
        <f>SUM(E218:L218)</f>
        <v>24519340</v>
      </c>
      <c r="E218" s="407">
        <v>0</v>
      </c>
      <c r="F218" s="407">
        <f>+F219+F220</f>
        <v>0</v>
      </c>
      <c r="G218" s="407">
        <f>+G219+G220</f>
        <v>298890</v>
      </c>
      <c r="H218" s="407">
        <f>+H219+H220</f>
        <v>13335195</v>
      </c>
      <c r="I218" s="407">
        <f t="shared" ref="I218:L218" si="148">+I219+I220</f>
        <v>10885255</v>
      </c>
      <c r="J218" s="407">
        <f t="shared" si="148"/>
        <v>0</v>
      </c>
      <c r="K218" s="407">
        <f t="shared" si="148"/>
        <v>0</v>
      </c>
      <c r="L218" s="407">
        <f t="shared" si="148"/>
        <v>0</v>
      </c>
      <c r="M218" s="2383">
        <f>SUM(E218:L218)</f>
        <v>24519340</v>
      </c>
      <c r="N218" s="2303"/>
      <c r="O218" s="374"/>
    </row>
    <row r="219" spans="1:15" s="3010" customFormat="1" ht="13.5" hidden="1" customHeight="1">
      <c r="A219" s="3440"/>
      <c r="B219" s="2318" t="s">
        <v>12</v>
      </c>
      <c r="C219" s="3531"/>
      <c r="D219" s="2319">
        <f>SUM(E219:L219)</f>
        <v>24519340</v>
      </c>
      <c r="E219" s="409"/>
      <c r="F219" s="2319">
        <v>0</v>
      </c>
      <c r="G219" s="2319">
        <v>298890</v>
      </c>
      <c r="H219" s="2319">
        <f>4006159-2149730+11478766</f>
        <v>13335195</v>
      </c>
      <c r="I219" s="2319">
        <f>825200-119869+1136000+9043924</f>
        <v>10885255</v>
      </c>
      <c r="J219" s="2319"/>
      <c r="K219" s="2319"/>
      <c r="L219" s="2319"/>
      <c r="M219" s="2384">
        <f>SUM(E219:L219)</f>
        <v>24519340</v>
      </c>
      <c r="N219" s="2303"/>
      <c r="O219" s="374"/>
    </row>
    <row r="220" spans="1:15" s="3010" customFormat="1" ht="13.5" hidden="1" customHeight="1">
      <c r="A220" s="3440"/>
      <c r="B220" s="2318" t="s">
        <v>16</v>
      </c>
      <c r="C220" s="3531"/>
      <c r="D220" s="2319">
        <f>SUM(E220:L220)</f>
        <v>0</v>
      </c>
      <c r="E220" s="409"/>
      <c r="F220" s="2319">
        <v>0</v>
      </c>
      <c r="G220" s="2319">
        <f>277300-277300</f>
        <v>0</v>
      </c>
      <c r="H220" s="2319">
        <f>3328200-3328200</f>
        <v>0</v>
      </c>
      <c r="I220" s="2319">
        <f>1394500+277300-1671800</f>
        <v>0</v>
      </c>
      <c r="J220" s="2319"/>
      <c r="K220" s="2319"/>
      <c r="L220" s="2319"/>
      <c r="M220" s="2384">
        <f>SUM(E220:L220)</f>
        <v>0</v>
      </c>
      <c r="N220" s="2303"/>
      <c r="O220" s="374"/>
    </row>
    <row r="221" spans="1:15" s="3010" customFormat="1" ht="15.75" hidden="1" customHeight="1">
      <c r="A221" s="3440"/>
      <c r="B221" s="577" t="s">
        <v>18</v>
      </c>
      <c r="C221" s="3531"/>
      <c r="D221" s="2317">
        <f>SUM(E221:L221)</f>
        <v>41000000</v>
      </c>
      <c r="E221" s="2317">
        <v>0</v>
      </c>
      <c r="F221" s="2317">
        <f t="shared" ref="F221:L221" si="149">+F222</f>
        <v>0</v>
      </c>
      <c r="G221" s="2317">
        <f t="shared" si="149"/>
        <v>0</v>
      </c>
      <c r="H221" s="2317">
        <f t="shared" si="149"/>
        <v>22550000</v>
      </c>
      <c r="I221" s="2317">
        <f t="shared" si="149"/>
        <v>18450000</v>
      </c>
      <c r="J221" s="2317">
        <f t="shared" si="149"/>
        <v>0</v>
      </c>
      <c r="K221" s="2317">
        <f t="shared" si="149"/>
        <v>0</v>
      </c>
      <c r="L221" s="2317">
        <f t="shared" si="149"/>
        <v>0</v>
      </c>
      <c r="M221" s="2385">
        <f>SUM(E221:L221)</f>
        <v>41000000</v>
      </c>
      <c r="N221" s="2303"/>
      <c r="O221" s="374"/>
    </row>
    <row r="222" spans="1:15" s="3010" customFormat="1" ht="12" hidden="1" customHeight="1">
      <c r="A222" s="3440"/>
      <c r="B222" s="534" t="s">
        <v>21</v>
      </c>
      <c r="C222" s="3531"/>
      <c r="D222" s="2319" t="e">
        <f>+D223+D224</f>
        <v>#REF!</v>
      </c>
      <c r="E222" s="2319">
        <v>0</v>
      </c>
      <c r="F222" s="2319">
        <f t="shared" ref="F222:L222" si="150">+F223+F224</f>
        <v>0</v>
      </c>
      <c r="G222" s="2319">
        <f t="shared" si="150"/>
        <v>0</v>
      </c>
      <c r="H222" s="2319">
        <f t="shared" si="150"/>
        <v>22550000</v>
      </c>
      <c r="I222" s="2319">
        <f t="shared" si="150"/>
        <v>18450000</v>
      </c>
      <c r="J222" s="2319">
        <f t="shared" si="150"/>
        <v>0</v>
      </c>
      <c r="K222" s="2319">
        <f t="shared" si="150"/>
        <v>0</v>
      </c>
      <c r="L222" s="2319">
        <f t="shared" si="150"/>
        <v>0</v>
      </c>
      <c r="M222" s="2384">
        <f>+M223+M224</f>
        <v>41000000</v>
      </c>
      <c r="N222" s="2303"/>
      <c r="O222" s="374"/>
    </row>
    <row r="223" spans="1:15" s="3010" customFormat="1" ht="22.5" hidden="1" customHeight="1">
      <c r="A223" s="3440"/>
      <c r="B223" s="2299" t="s">
        <v>315</v>
      </c>
      <c r="C223" s="3531"/>
      <c r="D223" s="2322" t="e">
        <f>+E223+#REF!+#REF!+F223+G223+H223+I223+J223+K223+L223</f>
        <v>#REF!</v>
      </c>
      <c r="E223" s="2386">
        <v>0</v>
      </c>
      <c r="F223" s="2322">
        <v>0</v>
      </c>
      <c r="G223" s="2322">
        <v>0</v>
      </c>
      <c r="H223" s="2322">
        <f>915000+624800-1539800</f>
        <v>0</v>
      </c>
      <c r="I223" s="2322">
        <f>511000+625000-1136000</f>
        <v>0</v>
      </c>
      <c r="J223" s="2322">
        <v>0</v>
      </c>
      <c r="K223" s="2322">
        <v>0</v>
      </c>
      <c r="L223" s="2322">
        <v>0</v>
      </c>
      <c r="M223" s="2387">
        <f>SUM(E223:L223)</f>
        <v>0</v>
      </c>
      <c r="N223" s="2303"/>
      <c r="O223" s="374"/>
    </row>
    <row r="224" spans="1:15" s="3010" customFormat="1" ht="23.25" hidden="1" customHeight="1">
      <c r="A224" s="3440"/>
      <c r="B224" s="2388" t="s">
        <v>307</v>
      </c>
      <c r="C224" s="3496"/>
      <c r="D224" s="2322" t="e">
        <f>+E224+#REF!+#REF!+F224+G224+H224+I224+J224+K224+L224</f>
        <v>#REF!</v>
      </c>
      <c r="E224" s="2389">
        <v>0</v>
      </c>
      <c r="F224" s="2390">
        <v>0</v>
      </c>
      <c r="G224" s="2390">
        <f>2328000-2328000</f>
        <v>0</v>
      </c>
      <c r="H224" s="2390">
        <f>27936000-5731740+345740</f>
        <v>22550000</v>
      </c>
      <c r="I224" s="2390">
        <f>11600000+8059740-1209740</f>
        <v>18450000</v>
      </c>
      <c r="J224" s="2390">
        <v>0</v>
      </c>
      <c r="K224" s="2390">
        <v>0</v>
      </c>
      <c r="L224" s="2390">
        <v>0</v>
      </c>
      <c r="M224" s="2387">
        <f>SUM(E224:L224)</f>
        <v>41000000</v>
      </c>
      <c r="N224" s="2303"/>
      <c r="O224" s="374"/>
    </row>
    <row r="225" spans="1:15" s="3010" customFormat="1" ht="13.5" hidden="1" customHeight="1">
      <c r="A225" s="3440"/>
      <c r="B225" s="21" t="s">
        <v>308</v>
      </c>
      <c r="C225" s="192"/>
      <c r="D225" s="428">
        <f t="shared" ref="D225:L225" si="151">+D226+D228</f>
        <v>41000000</v>
      </c>
      <c r="E225" s="428">
        <v>0</v>
      </c>
      <c r="F225" s="428">
        <f t="shared" si="151"/>
        <v>0</v>
      </c>
      <c r="G225" s="428">
        <f t="shared" si="151"/>
        <v>0</v>
      </c>
      <c r="H225" s="428">
        <f t="shared" si="151"/>
        <v>22550000</v>
      </c>
      <c r="I225" s="428">
        <f t="shared" si="151"/>
        <v>18450000</v>
      </c>
      <c r="J225" s="428">
        <f t="shared" si="151"/>
        <v>0</v>
      </c>
      <c r="K225" s="428">
        <f t="shared" si="151"/>
        <v>0</v>
      </c>
      <c r="L225" s="428">
        <f t="shared" si="151"/>
        <v>0</v>
      </c>
      <c r="M225" s="3481" t="s">
        <v>61</v>
      </c>
      <c r="N225" s="2303"/>
      <c r="O225" s="374"/>
    </row>
    <row r="226" spans="1:15" s="3010" customFormat="1" ht="15" hidden="1" customHeight="1">
      <c r="A226" s="3440"/>
      <c r="B226" s="2365" t="s">
        <v>24</v>
      </c>
      <c r="C226" s="3540" t="s">
        <v>323</v>
      </c>
      <c r="D226" s="2317">
        <f>+D227</f>
        <v>0</v>
      </c>
      <c r="E226" s="2317">
        <v>0</v>
      </c>
      <c r="F226" s="2317">
        <f t="shared" ref="F226:L226" si="152">+F227</f>
        <v>0</v>
      </c>
      <c r="G226" s="2317">
        <f t="shared" si="152"/>
        <v>0</v>
      </c>
      <c r="H226" s="2317">
        <f t="shared" si="152"/>
        <v>0</v>
      </c>
      <c r="I226" s="2317">
        <f t="shared" si="152"/>
        <v>0</v>
      </c>
      <c r="J226" s="2317">
        <f t="shared" si="152"/>
        <v>0</v>
      </c>
      <c r="K226" s="2317">
        <f t="shared" si="152"/>
        <v>0</v>
      </c>
      <c r="L226" s="2317">
        <f t="shared" si="152"/>
        <v>0</v>
      </c>
      <c r="M226" s="3456"/>
      <c r="N226" s="2303"/>
      <c r="O226" s="374"/>
    </row>
    <row r="227" spans="1:15" s="3010" customFormat="1" ht="16.5" hidden="1" customHeight="1">
      <c r="A227" s="3440"/>
      <c r="B227" s="2318" t="s">
        <v>16</v>
      </c>
      <c r="C227" s="3541"/>
      <c r="D227" s="2319">
        <f>SUM(E227:L227)</f>
        <v>0</v>
      </c>
      <c r="E227" s="409"/>
      <c r="F227" s="2319">
        <v>0</v>
      </c>
      <c r="G227" s="2319">
        <f>277300-277300</f>
        <v>0</v>
      </c>
      <c r="H227" s="2319">
        <f>3328200-3328200</f>
        <v>0</v>
      </c>
      <c r="I227" s="2319">
        <f>1394500+277300-1671800</f>
        <v>0</v>
      </c>
      <c r="J227" s="2319"/>
      <c r="K227" s="2319"/>
      <c r="L227" s="2319"/>
      <c r="M227" s="3456"/>
      <c r="N227" s="2303"/>
      <c r="O227" s="374"/>
    </row>
    <row r="228" spans="1:15" s="3010" customFormat="1" ht="16.5" hidden="1" customHeight="1">
      <c r="A228" s="3440"/>
      <c r="B228" s="577" t="s">
        <v>18</v>
      </c>
      <c r="C228" s="3541"/>
      <c r="D228" s="2317">
        <f>SUM(E228:L228)</f>
        <v>41000000</v>
      </c>
      <c r="E228" s="2317">
        <v>0</v>
      </c>
      <c r="F228" s="2317">
        <f t="shared" ref="F228:L228" si="153">+F229</f>
        <v>0</v>
      </c>
      <c r="G228" s="2317">
        <f t="shared" si="153"/>
        <v>0</v>
      </c>
      <c r="H228" s="2317">
        <f t="shared" si="153"/>
        <v>22550000</v>
      </c>
      <c r="I228" s="2317">
        <f t="shared" si="153"/>
        <v>18450000</v>
      </c>
      <c r="J228" s="2317">
        <f t="shared" si="153"/>
        <v>0</v>
      </c>
      <c r="K228" s="2317">
        <f t="shared" si="153"/>
        <v>0</v>
      </c>
      <c r="L228" s="2317">
        <f t="shared" si="153"/>
        <v>0</v>
      </c>
      <c r="M228" s="3456"/>
      <c r="N228" s="2303"/>
      <c r="O228" s="374"/>
    </row>
    <row r="229" spans="1:15" s="3010" customFormat="1" ht="15" hidden="1" customHeight="1">
      <c r="A229" s="2357"/>
      <c r="B229" s="534" t="s">
        <v>21</v>
      </c>
      <c r="C229" s="3542"/>
      <c r="D229" s="2319">
        <f>SUM(E229:L229)</f>
        <v>41000000</v>
      </c>
      <c r="E229" s="2319">
        <v>0</v>
      </c>
      <c r="F229" s="2319">
        <f t="shared" ref="F229:L229" si="154">+F230+F231</f>
        <v>0</v>
      </c>
      <c r="G229" s="2319">
        <f>+G230+G231</f>
        <v>0</v>
      </c>
      <c r="H229" s="2319">
        <f t="shared" si="154"/>
        <v>22550000</v>
      </c>
      <c r="I229" s="2319">
        <f t="shared" si="154"/>
        <v>18450000</v>
      </c>
      <c r="J229" s="2319">
        <f t="shared" si="154"/>
        <v>0</v>
      </c>
      <c r="K229" s="2319">
        <f t="shared" si="154"/>
        <v>0</v>
      </c>
      <c r="L229" s="2319">
        <f t="shared" si="154"/>
        <v>0</v>
      </c>
      <c r="M229" s="3456"/>
      <c r="N229" s="2303"/>
      <c r="O229" s="374"/>
    </row>
    <row r="230" spans="1:15" s="3010" customFormat="1" ht="27.75" hidden="1" customHeight="1">
      <c r="A230" s="2357"/>
      <c r="B230" s="2299" t="s">
        <v>305</v>
      </c>
      <c r="C230" s="2391" t="s">
        <v>277</v>
      </c>
      <c r="D230" s="2392">
        <f>SUM(E230:L230)</f>
        <v>0</v>
      </c>
      <c r="E230" s="2393">
        <v>0</v>
      </c>
      <c r="F230" s="2392">
        <v>0</v>
      </c>
      <c r="G230" s="2392">
        <v>0</v>
      </c>
      <c r="H230" s="2392">
        <f>915000+624800-1539800</f>
        <v>0</v>
      </c>
      <c r="I230" s="2392">
        <f>511000+625000-1136000</f>
        <v>0</v>
      </c>
      <c r="J230" s="2392">
        <v>0</v>
      </c>
      <c r="K230" s="2392">
        <v>0</v>
      </c>
      <c r="L230" s="2392">
        <v>0</v>
      </c>
      <c r="M230" s="3456"/>
      <c r="N230" s="2394"/>
      <c r="O230" s="374"/>
    </row>
    <row r="231" spans="1:15" s="3010" customFormat="1" ht="21.75" hidden="1" customHeight="1" thickBot="1">
      <c r="A231" s="2357"/>
      <c r="B231" s="2304" t="s">
        <v>316</v>
      </c>
      <c r="C231" s="2391" t="s">
        <v>243</v>
      </c>
      <c r="D231" s="2395">
        <f>SUM(E231:L231)</f>
        <v>41000000</v>
      </c>
      <c r="E231" s="2396">
        <v>0</v>
      </c>
      <c r="F231" s="2395">
        <v>0</v>
      </c>
      <c r="G231" s="2395">
        <f>2328000-2328000</f>
        <v>0</v>
      </c>
      <c r="H231" s="2395">
        <f>27936000-5731740+345740</f>
        <v>22550000</v>
      </c>
      <c r="I231" s="2395">
        <f>11600000+8059740-1209740</f>
        <v>18450000</v>
      </c>
      <c r="J231" s="2395">
        <v>0</v>
      </c>
      <c r="K231" s="2395">
        <v>0</v>
      </c>
      <c r="L231" s="2395">
        <v>0</v>
      </c>
      <c r="M231" s="3457"/>
      <c r="N231" s="2394"/>
      <c r="O231" s="374"/>
    </row>
    <row r="232" spans="1:15" s="3010" customFormat="1" ht="27" customHeight="1">
      <c r="A232" s="3439" t="s">
        <v>90</v>
      </c>
      <c r="B232" s="187" t="s">
        <v>328</v>
      </c>
      <c r="C232" s="188" t="s">
        <v>111</v>
      </c>
      <c r="D232" s="464"/>
      <c r="E232" s="205"/>
      <c r="F232" s="464"/>
      <c r="G232" s="464"/>
      <c r="H232" s="205"/>
      <c r="I232" s="205"/>
      <c r="J232" s="205"/>
      <c r="K232" s="205"/>
      <c r="L232" s="292"/>
      <c r="M232" s="399"/>
      <c r="N232" s="3486" t="s">
        <v>368</v>
      </c>
      <c r="O232" s="374"/>
    </row>
    <row r="233" spans="1:15" s="3010" customFormat="1">
      <c r="A233" s="3440"/>
      <c r="B233" s="21" t="s">
        <v>10</v>
      </c>
      <c r="C233" s="529"/>
      <c r="D233" s="428">
        <f>+D234+D238</f>
        <v>5491442</v>
      </c>
      <c r="E233" s="428">
        <f t="shared" ref="E233" si="155">+E234+E238</f>
        <v>131150</v>
      </c>
      <c r="F233" s="428">
        <f t="shared" ref="F233" si="156">+F234+F238</f>
        <v>4439839</v>
      </c>
      <c r="G233" s="428">
        <f>+G234+G238</f>
        <v>920453</v>
      </c>
      <c r="H233" s="400"/>
      <c r="I233" s="400"/>
      <c r="J233" s="400"/>
      <c r="K233" s="400"/>
      <c r="L233" s="400"/>
      <c r="M233" s="530">
        <f>M234+M238</f>
        <v>4905086</v>
      </c>
      <c r="N233" s="3487"/>
      <c r="O233" s="374"/>
    </row>
    <row r="234" spans="1:15" s="3010" customFormat="1">
      <c r="A234" s="3440"/>
      <c r="B234" s="189" t="s">
        <v>24</v>
      </c>
      <c r="C234" s="3489" t="s">
        <v>228</v>
      </c>
      <c r="D234" s="402">
        <f>SUM(D235:D237)</f>
        <v>1295641</v>
      </c>
      <c r="E234" s="402">
        <f>SUM(E235:E237)</f>
        <v>28691</v>
      </c>
      <c r="F234" s="402">
        <f t="shared" ref="F234:G234" si="157">SUM(F235:F237)</f>
        <v>968171</v>
      </c>
      <c r="G234" s="402">
        <f t="shared" si="157"/>
        <v>298779</v>
      </c>
      <c r="H234" s="402"/>
      <c r="I234" s="402"/>
      <c r="J234" s="402"/>
      <c r="K234" s="402"/>
      <c r="L234" s="402"/>
      <c r="M234" s="403">
        <f>SUM(M235:M236)</f>
        <v>811744</v>
      </c>
      <c r="N234" s="3487"/>
      <c r="O234" s="374"/>
    </row>
    <row r="235" spans="1:15" s="3010" customFormat="1">
      <c r="A235" s="3440"/>
      <c r="B235" s="190" t="s">
        <v>12</v>
      </c>
      <c r="C235" s="3506"/>
      <c r="D235" s="280">
        <f>E235+F235+G235+H235+I235+J235+K235+L235</f>
        <v>100000</v>
      </c>
      <c r="E235" s="2071">
        <v>10611</v>
      </c>
      <c r="F235" s="1889">
        <f>50000+1902</f>
        <v>51902</v>
      </c>
      <c r="G235" s="1889">
        <f>12500+24987</f>
        <v>37487</v>
      </c>
      <c r="H235" s="531"/>
      <c r="I235" s="531"/>
      <c r="J235" s="531"/>
      <c r="K235" s="531"/>
      <c r="L235" s="531"/>
      <c r="M235" s="566">
        <f>SUM(F235:L235)</f>
        <v>89389</v>
      </c>
      <c r="N235" s="3487"/>
      <c r="O235" s="374"/>
    </row>
    <row r="236" spans="1:15" s="3010" customFormat="1">
      <c r="A236" s="3440"/>
      <c r="B236" s="190" t="s">
        <v>13</v>
      </c>
      <c r="C236" s="3388"/>
      <c r="D236" s="280">
        <f>E236+F236+G236+H236+I236+J236+K236+L236</f>
        <v>740435</v>
      </c>
      <c r="E236" s="2071">
        <v>18080</v>
      </c>
      <c r="F236" s="191">
        <f>412301+81979+118367</f>
        <v>612647</v>
      </c>
      <c r="G236" s="191">
        <f>163259+60000-113551</f>
        <v>109708</v>
      </c>
      <c r="H236" s="191"/>
      <c r="I236" s="191"/>
      <c r="J236" s="191"/>
      <c r="K236" s="191"/>
      <c r="L236" s="191"/>
      <c r="M236" s="566">
        <f>SUM(F236:L236)</f>
        <v>722355</v>
      </c>
      <c r="N236" s="3487"/>
      <c r="O236" s="374"/>
    </row>
    <row r="237" spans="1:15" s="3010" customFormat="1">
      <c r="A237" s="3440"/>
      <c r="B237" s="527" t="s">
        <v>32</v>
      </c>
      <c r="C237" s="3388"/>
      <c r="D237" s="280">
        <f>E237+F237+G237+H237+I237+J237+K237+L237</f>
        <v>455206</v>
      </c>
      <c r="E237" s="2071">
        <v>0</v>
      </c>
      <c r="F237" s="191">
        <f>255556+48066</f>
        <v>303622</v>
      </c>
      <c r="G237" s="191">
        <f>110761+40823</f>
        <v>151584</v>
      </c>
      <c r="H237" s="191"/>
      <c r="I237" s="191"/>
      <c r="J237" s="191"/>
      <c r="K237" s="191"/>
      <c r="L237" s="191"/>
      <c r="M237" s="532" t="s">
        <v>61</v>
      </c>
      <c r="N237" s="3487"/>
      <c r="O237" s="374"/>
    </row>
    <row r="238" spans="1:15" s="3010" customFormat="1">
      <c r="A238" s="3440"/>
      <c r="B238" s="92" t="s">
        <v>18</v>
      </c>
      <c r="C238" s="3388"/>
      <c r="D238" s="407">
        <f>+D239</f>
        <v>4195801</v>
      </c>
      <c r="E238" s="407">
        <f t="shared" ref="E238:G238" si="158">E239</f>
        <v>102459</v>
      </c>
      <c r="F238" s="407">
        <f t="shared" si="158"/>
        <v>3471668</v>
      </c>
      <c r="G238" s="407">
        <f t="shared" si="158"/>
        <v>621674</v>
      </c>
      <c r="H238" s="407"/>
      <c r="I238" s="407"/>
      <c r="J238" s="407"/>
      <c r="K238" s="407"/>
      <c r="L238" s="407"/>
      <c r="M238" s="403">
        <f>+M239</f>
        <v>4093342</v>
      </c>
      <c r="N238" s="3487"/>
      <c r="O238" s="374"/>
    </row>
    <row r="239" spans="1:15" s="3010" customFormat="1">
      <c r="A239" s="3440"/>
      <c r="B239" s="408" t="s">
        <v>21</v>
      </c>
      <c r="C239" s="3377"/>
      <c r="D239" s="280">
        <f>E239+F239+G239+H239+I239+J239+K239+L239</f>
        <v>4195801</v>
      </c>
      <c r="E239" s="2071">
        <v>102459</v>
      </c>
      <c r="F239" s="151">
        <f>2336375+464546+670747</f>
        <v>3471668</v>
      </c>
      <c r="G239" s="151">
        <f>925133+340000-643459</f>
        <v>621674</v>
      </c>
      <c r="H239" s="151"/>
      <c r="I239" s="151"/>
      <c r="J239" s="151"/>
      <c r="K239" s="151"/>
      <c r="L239" s="151"/>
      <c r="M239" s="566">
        <f>SUM(F239:L239)</f>
        <v>4093342</v>
      </c>
      <c r="N239" s="3487"/>
      <c r="O239" s="374"/>
    </row>
    <row r="240" spans="1:15" s="3010" customFormat="1">
      <c r="A240" s="3135"/>
      <c r="B240" s="21" t="s">
        <v>22</v>
      </c>
      <c r="C240" s="192"/>
      <c r="D240" s="400">
        <f>+D241+D243</f>
        <v>4936236</v>
      </c>
      <c r="E240" s="400">
        <f t="shared" ref="E240" si="159">E241+E243</f>
        <v>120539</v>
      </c>
      <c r="F240" s="400">
        <f t="shared" ref="F240:G240" si="160">F241+F243</f>
        <v>4084315</v>
      </c>
      <c r="G240" s="400">
        <f t="shared" si="160"/>
        <v>731382</v>
      </c>
      <c r="H240" s="412"/>
      <c r="I240" s="400"/>
      <c r="J240" s="400"/>
      <c r="K240" s="400"/>
      <c r="L240" s="400"/>
      <c r="M240" s="3481" t="s">
        <v>61</v>
      </c>
      <c r="N240" s="3487"/>
      <c r="O240" s="374"/>
    </row>
    <row r="241" spans="1:15" s="3010" customFormat="1">
      <c r="A241" s="3135"/>
      <c r="B241" s="193" t="s">
        <v>24</v>
      </c>
      <c r="C241" s="3489" t="s">
        <v>228</v>
      </c>
      <c r="D241" s="402">
        <f>+D242</f>
        <v>740435</v>
      </c>
      <c r="E241" s="402">
        <f t="shared" ref="E241:G241" si="161">E242</f>
        <v>18080</v>
      </c>
      <c r="F241" s="402">
        <f t="shared" si="161"/>
        <v>612647</v>
      </c>
      <c r="G241" s="402">
        <f t="shared" si="161"/>
        <v>109708</v>
      </c>
      <c r="H241" s="413"/>
      <c r="I241" s="402"/>
      <c r="J241" s="402"/>
      <c r="K241" s="402"/>
      <c r="L241" s="402"/>
      <c r="M241" s="3456"/>
      <c r="N241" s="3487"/>
      <c r="O241" s="374"/>
    </row>
    <row r="242" spans="1:15" s="3010" customFormat="1">
      <c r="A242" s="3135"/>
      <c r="B242" s="194" t="s">
        <v>13</v>
      </c>
      <c r="C242" s="3388"/>
      <c r="D242" s="280">
        <f>E242+F242+G242+H242+I242+J242+K242+L242</f>
        <v>740435</v>
      </c>
      <c r="E242" s="2071">
        <v>18080</v>
      </c>
      <c r="F242" s="834">
        <f>412301+81979+118367</f>
        <v>612647</v>
      </c>
      <c r="G242" s="834">
        <f>163259+60000-113551</f>
        <v>109708</v>
      </c>
      <c r="H242" s="409"/>
      <c r="I242" s="409"/>
      <c r="J242" s="409"/>
      <c r="K242" s="409"/>
      <c r="L242" s="409"/>
      <c r="M242" s="3456"/>
      <c r="N242" s="3487"/>
      <c r="O242" s="374"/>
    </row>
    <row r="243" spans="1:15" s="3010" customFormat="1">
      <c r="A243" s="3135"/>
      <c r="B243" s="410" t="s">
        <v>18</v>
      </c>
      <c r="C243" s="3388"/>
      <c r="D243" s="407">
        <f>+D244</f>
        <v>4195801</v>
      </c>
      <c r="E243" s="407">
        <f t="shared" ref="E243:G243" si="162">E244</f>
        <v>102459</v>
      </c>
      <c r="F243" s="407">
        <f t="shared" si="162"/>
        <v>3471668</v>
      </c>
      <c r="G243" s="407">
        <f t="shared" si="162"/>
        <v>621674</v>
      </c>
      <c r="H243" s="414"/>
      <c r="I243" s="407"/>
      <c r="J243" s="407"/>
      <c r="K243" s="407"/>
      <c r="L243" s="407"/>
      <c r="M243" s="3456"/>
      <c r="N243" s="3487"/>
      <c r="O243" s="374"/>
    </row>
    <row r="244" spans="1:15" s="3010" customFormat="1" ht="13.5" thickBot="1">
      <c r="A244" s="3136"/>
      <c r="B244" s="411" t="s">
        <v>21</v>
      </c>
      <c r="C244" s="3381"/>
      <c r="D244" s="280">
        <f>E244+F244+G244+H244+I244+J244+K244+L244</f>
        <v>4195801</v>
      </c>
      <c r="E244" s="2071">
        <v>102459</v>
      </c>
      <c r="F244" s="821">
        <f>2336375+464546+670747</f>
        <v>3471668</v>
      </c>
      <c r="G244" s="821">
        <f>925133+340000-643459</f>
        <v>621674</v>
      </c>
      <c r="H244" s="195"/>
      <c r="I244" s="195"/>
      <c r="J244" s="195"/>
      <c r="K244" s="195"/>
      <c r="L244" s="195"/>
      <c r="M244" s="3457"/>
      <c r="N244" s="3488"/>
      <c r="O244" s="374"/>
    </row>
    <row r="245" spans="1:15" s="3010" customFormat="1" ht="36" customHeight="1">
      <c r="A245" s="3439" t="s">
        <v>91</v>
      </c>
      <c r="B245" s="187" t="s">
        <v>398</v>
      </c>
      <c r="C245" s="188" t="s">
        <v>81</v>
      </c>
      <c r="D245" s="206"/>
      <c r="E245" s="205"/>
      <c r="F245" s="205"/>
      <c r="G245" s="205"/>
      <c r="H245" s="205"/>
      <c r="I245" s="205"/>
      <c r="J245" s="205"/>
      <c r="K245" s="205"/>
      <c r="L245" s="292"/>
      <c r="M245" s="399"/>
      <c r="N245" s="3486" t="s">
        <v>368</v>
      </c>
      <c r="O245" s="374"/>
    </row>
    <row r="246" spans="1:15" s="3010" customFormat="1">
      <c r="A246" s="3440"/>
      <c r="B246" s="826" t="s">
        <v>10</v>
      </c>
      <c r="C246" s="2924"/>
      <c r="D246" s="2893">
        <f t="shared" ref="D246:G246" si="163">+D247+D249</f>
        <v>5764</v>
      </c>
      <c r="E246" s="2893">
        <f t="shared" ref="E246" si="164">+E247+E249</f>
        <v>5764</v>
      </c>
      <c r="F246" s="2893">
        <f t="shared" si="163"/>
        <v>0</v>
      </c>
      <c r="G246" s="2893">
        <f t="shared" si="163"/>
        <v>0</v>
      </c>
      <c r="H246" s="2887"/>
      <c r="I246" s="2887"/>
      <c r="J246" s="2887"/>
      <c r="K246" s="2887"/>
      <c r="L246" s="2887"/>
      <c r="M246" s="2925">
        <f>M247+M249</f>
        <v>0</v>
      </c>
      <c r="N246" s="3487"/>
      <c r="O246" s="374"/>
    </row>
    <row r="247" spans="1:15" s="3010" customFormat="1">
      <c r="A247" s="3440"/>
      <c r="B247" s="783" t="s">
        <v>24</v>
      </c>
      <c r="C247" s="3500" t="s">
        <v>228</v>
      </c>
      <c r="D247" s="2875">
        <f t="shared" ref="D247:G247" si="165">SUM(D248:D248)</f>
        <v>865</v>
      </c>
      <c r="E247" s="2875">
        <f t="shared" si="165"/>
        <v>865</v>
      </c>
      <c r="F247" s="2875">
        <f t="shared" si="165"/>
        <v>0</v>
      </c>
      <c r="G247" s="2875">
        <f t="shared" si="165"/>
        <v>0</v>
      </c>
      <c r="H247" s="2875"/>
      <c r="I247" s="2875"/>
      <c r="J247" s="2875"/>
      <c r="K247" s="2875"/>
      <c r="L247" s="2875"/>
      <c r="M247" s="2877">
        <f>SUM(M248:M248)</f>
        <v>0</v>
      </c>
      <c r="N247" s="3487"/>
      <c r="O247" s="374"/>
    </row>
    <row r="248" spans="1:15" s="3010" customFormat="1">
      <c r="A248" s="3440"/>
      <c r="B248" s="190" t="s">
        <v>13</v>
      </c>
      <c r="C248" s="3388"/>
      <c r="D248" s="2819">
        <f>E248+F248+G248+H248+I248+J248+K248+L248</f>
        <v>865</v>
      </c>
      <c r="E248" s="2878">
        <v>865</v>
      </c>
      <c r="F248" s="191">
        <v>0</v>
      </c>
      <c r="G248" s="191">
        <v>0</v>
      </c>
      <c r="H248" s="191"/>
      <c r="I248" s="191"/>
      <c r="J248" s="191"/>
      <c r="K248" s="191"/>
      <c r="L248" s="191"/>
      <c r="M248" s="2926">
        <f>SUM(F248:L248)</f>
        <v>0</v>
      </c>
      <c r="N248" s="3487"/>
      <c r="O248" s="374"/>
    </row>
    <row r="249" spans="1:15" s="3010" customFormat="1">
      <c r="A249" s="3440"/>
      <c r="B249" s="882" t="s">
        <v>18</v>
      </c>
      <c r="C249" s="3388"/>
      <c r="D249" s="2881">
        <f>+D250</f>
        <v>4899</v>
      </c>
      <c r="E249" s="2881">
        <f t="shared" ref="E249:G249" si="166">E250</f>
        <v>4899</v>
      </c>
      <c r="F249" s="2881">
        <f t="shared" si="166"/>
        <v>0</v>
      </c>
      <c r="G249" s="2881">
        <f t="shared" si="166"/>
        <v>0</v>
      </c>
      <c r="H249" s="2881"/>
      <c r="I249" s="2881"/>
      <c r="J249" s="2881"/>
      <c r="K249" s="2881"/>
      <c r="L249" s="2881"/>
      <c r="M249" s="2877">
        <f>+M250</f>
        <v>0</v>
      </c>
      <c r="N249" s="3487"/>
      <c r="O249" s="374"/>
    </row>
    <row r="250" spans="1:15" s="3010" customFormat="1">
      <c r="A250" s="3440"/>
      <c r="B250" s="2927" t="s">
        <v>21</v>
      </c>
      <c r="C250" s="3377"/>
      <c r="D250" s="2819">
        <f>E250+F250+G250+H250+I250+J250+K250+L250</f>
        <v>4899</v>
      </c>
      <c r="E250" s="2878">
        <v>4899</v>
      </c>
      <c r="F250" s="151">
        <v>0</v>
      </c>
      <c r="G250" s="151">
        <v>0</v>
      </c>
      <c r="H250" s="151"/>
      <c r="I250" s="151"/>
      <c r="J250" s="151"/>
      <c r="K250" s="151"/>
      <c r="L250" s="151"/>
      <c r="M250" s="2926">
        <f>SUM(F250:L250)</f>
        <v>0</v>
      </c>
      <c r="N250" s="3487"/>
      <c r="O250" s="374"/>
    </row>
    <row r="251" spans="1:15" s="3010" customFormat="1">
      <c r="A251" s="3135"/>
      <c r="B251" s="826" t="s">
        <v>22</v>
      </c>
      <c r="C251" s="2886"/>
      <c r="D251" s="2887">
        <f>+D252+D254</f>
        <v>5764</v>
      </c>
      <c r="E251" s="2887">
        <f t="shared" ref="E251" si="167">E252+E254</f>
        <v>5764</v>
      </c>
      <c r="F251" s="2887">
        <f t="shared" ref="F251:G251" si="168">F252+F254</f>
        <v>0</v>
      </c>
      <c r="G251" s="2887">
        <f t="shared" si="168"/>
        <v>0</v>
      </c>
      <c r="H251" s="2928"/>
      <c r="I251" s="2887"/>
      <c r="J251" s="2887"/>
      <c r="K251" s="2887"/>
      <c r="L251" s="2887"/>
      <c r="M251" s="3480" t="s">
        <v>61</v>
      </c>
      <c r="N251" s="3487"/>
      <c r="O251" s="374"/>
    </row>
    <row r="252" spans="1:15" s="3010" customFormat="1">
      <c r="A252" s="3135"/>
      <c r="B252" s="2888" t="s">
        <v>24</v>
      </c>
      <c r="C252" s="3500" t="s">
        <v>228</v>
      </c>
      <c r="D252" s="2875">
        <f>+D253</f>
        <v>865</v>
      </c>
      <c r="E252" s="2875">
        <f t="shared" ref="E252:G252" si="169">E253</f>
        <v>865</v>
      </c>
      <c r="F252" s="2875">
        <f t="shared" si="169"/>
        <v>0</v>
      </c>
      <c r="G252" s="2875">
        <f t="shared" si="169"/>
        <v>0</v>
      </c>
      <c r="H252" s="2929"/>
      <c r="I252" s="2875"/>
      <c r="J252" s="2875"/>
      <c r="K252" s="2875"/>
      <c r="L252" s="2875"/>
      <c r="M252" s="3456"/>
      <c r="N252" s="3487"/>
      <c r="O252" s="374"/>
    </row>
    <row r="253" spans="1:15" s="3010" customFormat="1">
      <c r="A253" s="3135"/>
      <c r="B253" s="194" t="s">
        <v>13</v>
      </c>
      <c r="C253" s="3388"/>
      <c r="D253" s="2819">
        <f>E253+F253+G253+H253+I253+J253+K253+L253</f>
        <v>865</v>
      </c>
      <c r="E253" s="2878">
        <v>865</v>
      </c>
      <c r="F253" s="2889">
        <v>0</v>
      </c>
      <c r="G253" s="2889">
        <v>0</v>
      </c>
      <c r="H253" s="2889"/>
      <c r="I253" s="2889"/>
      <c r="J253" s="2889"/>
      <c r="K253" s="2889"/>
      <c r="L253" s="2889"/>
      <c r="M253" s="3456"/>
      <c r="N253" s="3487"/>
      <c r="O253" s="374"/>
    </row>
    <row r="254" spans="1:15" s="3010" customFormat="1">
      <c r="A254" s="3135"/>
      <c r="B254" s="2890" t="s">
        <v>18</v>
      </c>
      <c r="C254" s="3388"/>
      <c r="D254" s="2881">
        <f>+D255</f>
        <v>4899</v>
      </c>
      <c r="E254" s="2881">
        <f t="shared" ref="E254:G254" si="170">E255</f>
        <v>4899</v>
      </c>
      <c r="F254" s="2881">
        <f t="shared" si="170"/>
        <v>0</v>
      </c>
      <c r="G254" s="2881">
        <f t="shared" si="170"/>
        <v>0</v>
      </c>
      <c r="H254" s="2910"/>
      <c r="I254" s="2881"/>
      <c r="J254" s="2881"/>
      <c r="K254" s="2881"/>
      <c r="L254" s="2881"/>
      <c r="M254" s="3456"/>
      <c r="N254" s="3487"/>
      <c r="O254" s="374"/>
    </row>
    <row r="255" spans="1:15" s="3010" customFormat="1" ht="13.5" thickBot="1">
      <c r="A255" s="3136"/>
      <c r="B255" s="411" t="s">
        <v>21</v>
      </c>
      <c r="C255" s="3381"/>
      <c r="D255" s="1337">
        <f>E255+F255+G255+H255+I255+J255+K255+L255</f>
        <v>4899</v>
      </c>
      <c r="E255" s="2891">
        <v>4899</v>
      </c>
      <c r="F255" s="821">
        <v>0</v>
      </c>
      <c r="G255" s="821">
        <v>0</v>
      </c>
      <c r="H255" s="821"/>
      <c r="I255" s="821"/>
      <c r="J255" s="821"/>
      <c r="K255" s="821"/>
      <c r="L255" s="821"/>
      <c r="M255" s="3457"/>
      <c r="N255" s="3488"/>
      <c r="O255" s="374"/>
    </row>
    <row r="256" spans="1:15" s="3010" customFormat="1" ht="13.5" hidden="1" thickBot="1">
      <c r="A256" s="664"/>
      <c r="B256" s="665"/>
      <c r="C256" s="666"/>
      <c r="D256" s="667"/>
      <c r="E256" s="667"/>
      <c r="F256" s="668"/>
      <c r="G256" s="668"/>
      <c r="H256" s="668"/>
      <c r="I256" s="668"/>
      <c r="J256" s="668"/>
      <c r="K256" s="668"/>
      <c r="L256" s="668"/>
      <c r="M256" s="669"/>
      <c r="N256" s="670"/>
      <c r="O256" s="374"/>
    </row>
    <row r="257" spans="1:26" s="370" customFormat="1" ht="18.75" thickBot="1">
      <c r="A257" s="217" t="s">
        <v>163</v>
      </c>
      <c r="B257" s="218"/>
      <c r="C257" s="218"/>
      <c r="D257" s="218"/>
      <c r="E257" s="2789"/>
      <c r="F257" s="218"/>
      <c r="G257" s="218"/>
      <c r="H257" s="218"/>
      <c r="I257" s="218"/>
      <c r="J257" s="218"/>
      <c r="K257" s="218"/>
      <c r="L257" s="218"/>
      <c r="M257" s="1506"/>
      <c r="N257" s="219"/>
    </row>
    <row r="258" spans="1:26" s="3010" customFormat="1">
      <c r="A258" s="215"/>
      <c r="B258" s="249" t="s">
        <v>76</v>
      </c>
      <c r="C258" s="250"/>
      <c r="D258" s="251">
        <f>+D259+D260</f>
        <v>53302984</v>
      </c>
      <c r="E258" s="251">
        <f>+E259+E260</f>
        <v>28119865</v>
      </c>
      <c r="F258" s="251">
        <f t="shared" ref="F258" si="171">+F259+F260</f>
        <v>8871679</v>
      </c>
      <c r="G258" s="251">
        <f>+G259+G260</f>
        <v>8355951</v>
      </c>
      <c r="H258" s="251">
        <f>+H259+H260</f>
        <v>6955489</v>
      </c>
      <c r="I258" s="251">
        <f>+I259+I260</f>
        <v>1000000</v>
      </c>
      <c r="J258" s="251"/>
      <c r="K258" s="251"/>
      <c r="L258" s="251"/>
      <c r="M258" s="168">
        <f>+M259+M260</f>
        <v>25183119</v>
      </c>
      <c r="N258" s="3516" t="s">
        <v>61</v>
      </c>
      <c r="O258" s="374"/>
    </row>
    <row r="259" spans="1:26" s="3010" customFormat="1" ht="13.5" customHeight="1">
      <c r="A259" s="215"/>
      <c r="B259" s="241" t="s">
        <v>77</v>
      </c>
      <c r="C259" s="242"/>
      <c r="D259" s="243">
        <f>+D273+D277</f>
        <v>51186260</v>
      </c>
      <c r="E259" s="243">
        <f>+E273+E277</f>
        <v>26008965</v>
      </c>
      <c r="F259" s="243">
        <f t="shared" ref="F259" si="172">+F273+F277</f>
        <v>8865855</v>
      </c>
      <c r="G259" s="243">
        <f>+G273</f>
        <v>8355951</v>
      </c>
      <c r="H259" s="243">
        <f>+H273</f>
        <v>6955489</v>
      </c>
      <c r="I259" s="243">
        <f>+I273</f>
        <v>1000000</v>
      </c>
      <c r="J259" s="243"/>
      <c r="K259" s="243"/>
      <c r="L259" s="243"/>
      <c r="M259" s="18">
        <f>SUM(F259:L259)</f>
        <v>25177295</v>
      </c>
      <c r="N259" s="3517"/>
    </row>
    <row r="260" spans="1:26" s="3010" customFormat="1" ht="13.5" customHeight="1" thickBot="1">
      <c r="A260" s="215"/>
      <c r="B260" s="252" t="s">
        <v>9</v>
      </c>
      <c r="C260" s="242"/>
      <c r="D260" s="243">
        <f>+D269</f>
        <v>2116724</v>
      </c>
      <c r="E260" s="243">
        <f>+E269</f>
        <v>2110900</v>
      </c>
      <c r="F260" s="243">
        <f t="shared" ref="F260" si="173">+F269</f>
        <v>5824</v>
      </c>
      <c r="G260" s="436">
        <f>+G269</f>
        <v>0</v>
      </c>
      <c r="H260" s="436">
        <f>+H269</f>
        <v>0</v>
      </c>
      <c r="I260" s="436">
        <f>+I269</f>
        <v>0</v>
      </c>
      <c r="J260" s="436"/>
      <c r="K260" s="436"/>
      <c r="L260" s="436"/>
      <c r="M260" s="170">
        <f>SUM(F260:L260)</f>
        <v>5824</v>
      </c>
      <c r="N260" s="3517"/>
    </row>
    <row r="261" spans="1:26" s="440" customFormat="1" ht="12">
      <c r="A261" s="437"/>
      <c r="B261" s="201" t="s">
        <v>10</v>
      </c>
      <c r="C261" s="202"/>
      <c r="D261" s="174">
        <f>+D262</f>
        <v>53302984</v>
      </c>
      <c r="E261" s="174">
        <f t="shared" ref="E261:I262" si="174">+E262</f>
        <v>28119865</v>
      </c>
      <c r="F261" s="174">
        <f t="shared" si="174"/>
        <v>8871679</v>
      </c>
      <c r="G261" s="174">
        <f t="shared" si="174"/>
        <v>8355951</v>
      </c>
      <c r="H261" s="174">
        <f t="shared" si="174"/>
        <v>6955489</v>
      </c>
      <c r="I261" s="174">
        <f t="shared" si="174"/>
        <v>1000000</v>
      </c>
      <c r="J261" s="174"/>
      <c r="K261" s="174"/>
      <c r="L261" s="174"/>
      <c r="M261" s="438">
        <f>+M262</f>
        <v>25183119</v>
      </c>
      <c r="N261" s="3517"/>
      <c r="O261" s="439"/>
      <c r="P261" s="439"/>
    </row>
    <row r="262" spans="1:26" s="443" customFormat="1" ht="12">
      <c r="A262" s="221"/>
      <c r="B262" s="175" t="s">
        <v>11</v>
      </c>
      <c r="C262" s="3519" t="s">
        <v>61</v>
      </c>
      <c r="D262" s="1507">
        <f>+D263+D264</f>
        <v>53302984</v>
      </c>
      <c r="E262" s="1507">
        <f t="shared" si="174"/>
        <v>28119865</v>
      </c>
      <c r="F262" s="1507">
        <f t="shared" si="174"/>
        <v>8871679</v>
      </c>
      <c r="G262" s="1507">
        <f t="shared" si="174"/>
        <v>8355951</v>
      </c>
      <c r="H262" s="1507">
        <f t="shared" si="174"/>
        <v>6955489</v>
      </c>
      <c r="I262" s="1507">
        <f t="shared" si="174"/>
        <v>1000000</v>
      </c>
      <c r="J262" s="1507"/>
      <c r="K262" s="1507"/>
      <c r="L262" s="1507"/>
      <c r="M262" s="1508">
        <f>+M263+M264</f>
        <v>25183119</v>
      </c>
      <c r="N262" s="3517"/>
      <c r="O262" s="441"/>
      <c r="P262" s="442"/>
      <c r="Q262" s="441"/>
      <c r="R262" s="441"/>
      <c r="S262" s="441"/>
      <c r="T262" s="441"/>
      <c r="U262" s="441"/>
      <c r="V262" s="441"/>
      <c r="W262" s="441"/>
      <c r="X262" s="441"/>
      <c r="Y262" s="441"/>
      <c r="Z262" s="441"/>
    </row>
    <row r="263" spans="1:26" s="385" customFormat="1" ht="13.5" thickBot="1">
      <c r="A263" s="177"/>
      <c r="B263" s="178" t="s">
        <v>12</v>
      </c>
      <c r="C263" s="3520"/>
      <c r="D263" s="1509">
        <f>+D271+D275+D279</f>
        <v>53302984</v>
      </c>
      <c r="E263" s="1509">
        <f>+E271+E275+E279</f>
        <v>28119865</v>
      </c>
      <c r="F263" s="1509">
        <f>+F271+F275+F279</f>
        <v>8871679</v>
      </c>
      <c r="G263" s="1509">
        <f t="shared" ref="G263:H263" si="175">+G271+G275+G279</f>
        <v>8355951</v>
      </c>
      <c r="H263" s="1509">
        <f t="shared" si="175"/>
        <v>6955489</v>
      </c>
      <c r="I263" s="1509">
        <f>+I271+I275</f>
        <v>1000000</v>
      </c>
      <c r="J263" s="1509"/>
      <c r="K263" s="1509"/>
      <c r="L263" s="1509"/>
      <c r="M263" s="856">
        <f>SUM(F263:L263)</f>
        <v>25183119</v>
      </c>
      <c r="N263" s="3517"/>
      <c r="O263" s="374"/>
    </row>
    <row r="264" spans="1:26" s="385" customFormat="1" ht="13.5" hidden="1" customHeight="1">
      <c r="A264" s="177"/>
      <c r="B264" s="178" t="s">
        <v>14</v>
      </c>
      <c r="C264" s="3520"/>
      <c r="D264" s="1509">
        <f t="shared" ref="D264" si="176">+D280</f>
        <v>0</v>
      </c>
      <c r="E264" s="1509">
        <f t="shared" ref="E264" si="177">+E280</f>
        <v>0</v>
      </c>
      <c r="F264" s="1509">
        <f>+F280</f>
        <v>0</v>
      </c>
      <c r="G264" s="1509">
        <f>+G280</f>
        <v>0</v>
      </c>
      <c r="H264" s="1509">
        <f>+H280</f>
        <v>0</v>
      </c>
      <c r="I264" s="1509">
        <f>+I280</f>
        <v>0</v>
      </c>
      <c r="J264" s="1509"/>
      <c r="K264" s="1509"/>
      <c r="L264" s="1509"/>
      <c r="M264" s="856">
        <f>SUM(F264:L264)</f>
        <v>0</v>
      </c>
      <c r="N264" s="3517"/>
      <c r="O264" s="374"/>
    </row>
    <row r="265" spans="1:26" s="377" customFormat="1" ht="15" hidden="1" customHeight="1">
      <c r="A265" s="171"/>
      <c r="B265" s="91" t="s">
        <v>22</v>
      </c>
      <c r="C265" s="101"/>
      <c r="D265" s="220">
        <f>+D266</f>
        <v>0</v>
      </c>
      <c r="E265" s="220">
        <f t="shared" ref="E265" si="178">+E266</f>
        <v>0</v>
      </c>
      <c r="F265" s="220">
        <f t="shared" ref="F265:I266" si="179">+F266</f>
        <v>0</v>
      </c>
      <c r="G265" s="220">
        <f t="shared" si="179"/>
        <v>0</v>
      </c>
      <c r="H265" s="220">
        <f t="shared" si="179"/>
        <v>0</v>
      </c>
      <c r="I265" s="220">
        <f t="shared" si="179"/>
        <v>0</v>
      </c>
      <c r="J265" s="220"/>
      <c r="K265" s="220"/>
      <c r="L265" s="220"/>
      <c r="M265" s="3468" t="s">
        <v>61</v>
      </c>
      <c r="N265" s="3517"/>
      <c r="O265" s="376"/>
      <c r="P265" s="376"/>
    </row>
    <row r="266" spans="1:26" s="377" customFormat="1" ht="14.25" hidden="1" customHeight="1">
      <c r="A266" s="171"/>
      <c r="B266" s="175" t="s">
        <v>11</v>
      </c>
      <c r="C266" s="3519" t="s">
        <v>61</v>
      </c>
      <c r="D266" s="1507">
        <f>+D267</f>
        <v>0</v>
      </c>
      <c r="E266" s="1507">
        <f>+E267</f>
        <v>0</v>
      </c>
      <c r="F266" s="1507">
        <f t="shared" si="179"/>
        <v>0</v>
      </c>
      <c r="G266" s="1507">
        <f t="shared" si="179"/>
        <v>0</v>
      </c>
      <c r="H266" s="1507">
        <f t="shared" si="179"/>
        <v>0</v>
      </c>
      <c r="I266" s="1507">
        <f t="shared" si="179"/>
        <v>0</v>
      </c>
      <c r="J266" s="1507"/>
      <c r="K266" s="1507"/>
      <c r="L266" s="1507"/>
      <c r="M266" s="3456"/>
      <c r="N266" s="3517"/>
      <c r="O266" s="376"/>
      <c r="P266" s="376"/>
    </row>
    <row r="267" spans="1:26" s="385" customFormat="1" ht="16.5" hidden="1" customHeight="1" thickBot="1">
      <c r="A267" s="177"/>
      <c r="B267" s="178" t="s">
        <v>14</v>
      </c>
      <c r="C267" s="3520"/>
      <c r="D267" s="1509">
        <f>+D283</f>
        <v>0</v>
      </c>
      <c r="E267" s="1509">
        <f>+E283</f>
        <v>0</v>
      </c>
      <c r="F267" s="1509">
        <f t="shared" ref="F267:I267" si="180">+F283</f>
        <v>0</v>
      </c>
      <c r="G267" s="1509">
        <f t="shared" si="180"/>
        <v>0</v>
      </c>
      <c r="H267" s="1509">
        <f t="shared" si="180"/>
        <v>0</v>
      </c>
      <c r="I267" s="1509">
        <f t="shared" si="180"/>
        <v>0</v>
      </c>
      <c r="J267" s="444"/>
      <c r="K267" s="444"/>
      <c r="L267" s="444"/>
      <c r="M267" s="3457"/>
      <c r="N267" s="3518"/>
      <c r="O267" s="375"/>
    </row>
    <row r="268" spans="1:26" s="393" customFormat="1" ht="26.25" customHeight="1">
      <c r="A268" s="3439" t="s">
        <v>63</v>
      </c>
      <c r="B268" s="445" t="s">
        <v>405</v>
      </c>
      <c r="C268" s="446" t="s">
        <v>81</v>
      </c>
      <c r="D268" s="463"/>
      <c r="E268" s="460"/>
      <c r="F268" s="460"/>
      <c r="G268" s="460"/>
      <c r="H268" s="460"/>
      <c r="I268" s="460"/>
      <c r="J268" s="460"/>
      <c r="K268" s="460"/>
      <c r="L268" s="2756"/>
      <c r="M268" s="415"/>
      <c r="N268" s="3486" t="s">
        <v>371</v>
      </c>
    </row>
    <row r="269" spans="1:26" s="393" customFormat="1">
      <c r="A269" s="3440"/>
      <c r="B269" s="91" t="s">
        <v>10</v>
      </c>
      <c r="C269" s="893"/>
      <c r="D269" s="876">
        <f>+D270</f>
        <v>2116724</v>
      </c>
      <c r="E269" s="876">
        <f t="shared" ref="E269:M270" si="181">+E270</f>
        <v>2110900</v>
      </c>
      <c r="F269" s="876">
        <f>+F270</f>
        <v>5824</v>
      </c>
      <c r="G269" s="894">
        <v>0</v>
      </c>
      <c r="H269" s="894">
        <v>0</v>
      </c>
      <c r="I269" s="894">
        <v>0</v>
      </c>
      <c r="J269" s="894">
        <v>0</v>
      </c>
      <c r="K269" s="894">
        <v>0</v>
      </c>
      <c r="L269" s="894">
        <v>0</v>
      </c>
      <c r="M269" s="2086">
        <f t="shared" si="181"/>
        <v>5824</v>
      </c>
      <c r="N269" s="3514"/>
      <c r="O269" s="374"/>
    </row>
    <row r="270" spans="1:26" s="393" customFormat="1" ht="12" customHeight="1">
      <c r="A270" s="3440"/>
      <c r="B270" s="783" t="s">
        <v>24</v>
      </c>
      <c r="C270" s="3526" t="s">
        <v>164</v>
      </c>
      <c r="D270" s="883">
        <f>+D271</f>
        <v>2116724</v>
      </c>
      <c r="E270" s="883">
        <f t="shared" si="181"/>
        <v>2110900</v>
      </c>
      <c r="F270" s="883">
        <f>+F271</f>
        <v>5824</v>
      </c>
      <c r="G270" s="850">
        <v>0</v>
      </c>
      <c r="H270" s="850">
        <v>0</v>
      </c>
      <c r="I270" s="850">
        <v>0</v>
      </c>
      <c r="J270" s="850">
        <v>0</v>
      </c>
      <c r="K270" s="850">
        <v>0</v>
      </c>
      <c r="L270" s="850">
        <v>0</v>
      </c>
      <c r="M270" s="2087">
        <f t="shared" si="181"/>
        <v>5824</v>
      </c>
      <c r="N270" s="3514"/>
    </row>
    <row r="271" spans="1:26" s="393" customFormat="1" thickBot="1">
      <c r="A271" s="3483"/>
      <c r="B271" s="2088" t="s">
        <v>12</v>
      </c>
      <c r="C271" s="3381"/>
      <c r="D271" s="280">
        <f>E271+F271+G271+H271+I271+J271+K271+L271</f>
        <v>2116724</v>
      </c>
      <c r="E271" s="2071">
        <v>2110900</v>
      </c>
      <c r="F271" s="686">
        <v>5824</v>
      </c>
      <c r="G271" s="847">
        <v>0</v>
      </c>
      <c r="H271" s="847">
        <v>0</v>
      </c>
      <c r="I271" s="847">
        <v>0</v>
      </c>
      <c r="J271" s="847">
        <v>0</v>
      </c>
      <c r="K271" s="847">
        <v>0</v>
      </c>
      <c r="L271" s="847">
        <v>0</v>
      </c>
      <c r="M271" s="1419">
        <f>SUM(F271:L271)</f>
        <v>5824</v>
      </c>
      <c r="N271" s="3515"/>
    </row>
    <row r="272" spans="1:26" s="393" customFormat="1" ht="36">
      <c r="A272" s="3523" t="s">
        <v>64</v>
      </c>
      <c r="B272" s="187" t="s">
        <v>499</v>
      </c>
      <c r="C272" s="446" t="s">
        <v>111</v>
      </c>
      <c r="D272" s="463"/>
      <c r="E272" s="460"/>
      <c r="F272" s="460"/>
      <c r="G272" s="460"/>
      <c r="H272" s="460"/>
      <c r="I272" s="460"/>
      <c r="J272" s="460"/>
      <c r="K272" s="460"/>
      <c r="L272" s="2756"/>
      <c r="M272" s="415"/>
      <c r="N272" s="3486" t="s">
        <v>372</v>
      </c>
      <c r="O272" s="374"/>
    </row>
    <row r="273" spans="1:15" s="393" customFormat="1" ht="12">
      <c r="A273" s="3524"/>
      <c r="B273" s="826" t="s">
        <v>10</v>
      </c>
      <c r="C273" s="893"/>
      <c r="D273" s="876">
        <f>+D274</f>
        <v>51155510</v>
      </c>
      <c r="E273" s="876">
        <f t="shared" ref="E273:M274" si="182">+E274</f>
        <v>26008965</v>
      </c>
      <c r="F273" s="876">
        <f t="shared" si="182"/>
        <v>8835105</v>
      </c>
      <c r="G273" s="876">
        <f t="shared" si="182"/>
        <v>8355951</v>
      </c>
      <c r="H273" s="876">
        <f t="shared" si="182"/>
        <v>6955489</v>
      </c>
      <c r="I273" s="876">
        <f t="shared" si="182"/>
        <v>1000000</v>
      </c>
      <c r="J273" s="894">
        <f t="shared" si="182"/>
        <v>0</v>
      </c>
      <c r="K273" s="894">
        <f t="shared" si="182"/>
        <v>0</v>
      </c>
      <c r="L273" s="894">
        <f t="shared" si="182"/>
        <v>0</v>
      </c>
      <c r="M273" s="1421">
        <f t="shared" si="182"/>
        <v>25146545</v>
      </c>
      <c r="N273" s="3514"/>
    </row>
    <row r="274" spans="1:15" s="393" customFormat="1" ht="12">
      <c r="A274" s="3524"/>
      <c r="B274" s="783" t="s">
        <v>24</v>
      </c>
      <c r="C274" s="3450" t="s">
        <v>155</v>
      </c>
      <c r="D274" s="1422">
        <f>+D275</f>
        <v>51155510</v>
      </c>
      <c r="E274" s="2764">
        <f t="shared" si="182"/>
        <v>26008965</v>
      </c>
      <c r="F274" s="1422">
        <f t="shared" si="182"/>
        <v>8835105</v>
      </c>
      <c r="G274" s="2089">
        <f t="shared" si="182"/>
        <v>8355951</v>
      </c>
      <c r="H274" s="2089">
        <f t="shared" si="182"/>
        <v>6955489</v>
      </c>
      <c r="I274" s="2089">
        <f t="shared" si="182"/>
        <v>1000000</v>
      </c>
      <c r="J274" s="2090">
        <f t="shared" si="182"/>
        <v>0</v>
      </c>
      <c r="K274" s="2090">
        <f t="shared" si="182"/>
        <v>0</v>
      </c>
      <c r="L274" s="2090">
        <f t="shared" si="182"/>
        <v>0</v>
      </c>
      <c r="M274" s="1423">
        <f t="shared" si="182"/>
        <v>25146545</v>
      </c>
      <c r="N274" s="3514"/>
    </row>
    <row r="275" spans="1:15" s="393" customFormat="1" thickBot="1">
      <c r="A275" s="3525"/>
      <c r="B275" s="2091" t="s">
        <v>12</v>
      </c>
      <c r="C275" s="3521"/>
      <c r="D275" s="280">
        <f>E275+F275+G275+H275+I275+J275+K275+L275</f>
        <v>51155510</v>
      </c>
      <c r="E275" s="2790">
        <f>20241982+5766983</f>
        <v>26008965</v>
      </c>
      <c r="F275" s="2092">
        <f>0+8835105</f>
        <v>8835105</v>
      </c>
      <c r="G275" s="2093">
        <f>0+7382305+973646</f>
        <v>8355951</v>
      </c>
      <c r="H275" s="2093">
        <f>5029421+1926068</f>
        <v>6955489</v>
      </c>
      <c r="I275" s="2093">
        <v>1000000</v>
      </c>
      <c r="J275" s="2094">
        <v>0</v>
      </c>
      <c r="K275" s="2094">
        <v>0</v>
      </c>
      <c r="L275" s="2094">
        <v>0</v>
      </c>
      <c r="M275" s="856">
        <f>SUM(F275:L275)</f>
        <v>25146545</v>
      </c>
      <c r="N275" s="3522"/>
    </row>
    <row r="276" spans="1:15" s="393" customFormat="1" ht="51.75" customHeight="1">
      <c r="A276" s="3439" t="s">
        <v>65</v>
      </c>
      <c r="B276" s="187" t="s">
        <v>404</v>
      </c>
      <c r="C276" s="446" t="s">
        <v>111</v>
      </c>
      <c r="D276" s="206"/>
      <c r="E276" s="464"/>
      <c r="F276" s="464"/>
      <c r="G276" s="464"/>
      <c r="H276" s="464"/>
      <c r="I276" s="464"/>
      <c r="J276" s="464"/>
      <c r="K276" s="464"/>
      <c r="L276" s="2757"/>
      <c r="M276" s="1510"/>
      <c r="N276" s="3528" t="s">
        <v>165</v>
      </c>
      <c r="O276" s="374"/>
    </row>
    <row r="277" spans="1:15" s="393" customFormat="1" ht="12">
      <c r="A277" s="3440"/>
      <c r="B277" s="826" t="s">
        <v>10</v>
      </c>
      <c r="C277" s="1420"/>
      <c r="D277" s="876">
        <f>+D278</f>
        <v>30750</v>
      </c>
      <c r="E277" s="876">
        <f t="shared" ref="E277:L277" si="183">+E278</f>
        <v>0</v>
      </c>
      <c r="F277" s="876">
        <f t="shared" si="183"/>
        <v>30750</v>
      </c>
      <c r="G277" s="894">
        <f t="shared" si="183"/>
        <v>0</v>
      </c>
      <c r="H277" s="894">
        <f t="shared" si="183"/>
        <v>0</v>
      </c>
      <c r="I277" s="894">
        <f t="shared" si="183"/>
        <v>0</v>
      </c>
      <c r="J277" s="894">
        <f t="shared" si="183"/>
        <v>0</v>
      </c>
      <c r="K277" s="894">
        <f t="shared" si="183"/>
        <v>0</v>
      </c>
      <c r="L277" s="894">
        <f t="shared" si="183"/>
        <v>0</v>
      </c>
      <c r="M277" s="1421">
        <f>+M278</f>
        <v>30750</v>
      </c>
      <c r="N277" s="3529"/>
    </row>
    <row r="278" spans="1:15" s="393" customFormat="1" ht="12">
      <c r="A278" s="3440"/>
      <c r="B278" s="783" t="s">
        <v>24</v>
      </c>
      <c r="C278" s="3450" t="s">
        <v>395</v>
      </c>
      <c r="D278" s="1422">
        <f>+D279+D280</f>
        <v>30750</v>
      </c>
      <c r="E278" s="1422">
        <f t="shared" ref="E278" si="184">+E279+E280</f>
        <v>0</v>
      </c>
      <c r="F278" s="1422">
        <f t="shared" ref="F278:M278" si="185">+F279+F280</f>
        <v>30750</v>
      </c>
      <c r="G278" s="851">
        <f t="shared" si="185"/>
        <v>0</v>
      </c>
      <c r="H278" s="851">
        <f t="shared" si="185"/>
        <v>0</v>
      </c>
      <c r="I278" s="851">
        <f t="shared" si="185"/>
        <v>0</v>
      </c>
      <c r="J278" s="851">
        <f t="shared" si="185"/>
        <v>0</v>
      </c>
      <c r="K278" s="851">
        <f t="shared" si="185"/>
        <v>0</v>
      </c>
      <c r="L278" s="851">
        <f t="shared" si="185"/>
        <v>0</v>
      </c>
      <c r="M278" s="1423">
        <f t="shared" si="185"/>
        <v>30750</v>
      </c>
      <c r="N278" s="3529"/>
    </row>
    <row r="279" spans="1:15" s="393" customFormat="1" ht="13.5" thickBot="1">
      <c r="A279" s="3483"/>
      <c r="B279" s="1429" t="s">
        <v>12</v>
      </c>
      <c r="C279" s="3527"/>
      <c r="D279" s="1336">
        <f>E279+F279+G279+H279+I279+J279+K279+L279</f>
        <v>30750</v>
      </c>
      <c r="E279" s="2791">
        <v>0</v>
      </c>
      <c r="F279" s="788">
        <v>30750</v>
      </c>
      <c r="G279" s="1430">
        <v>0</v>
      </c>
      <c r="H279" s="1430">
        <v>0</v>
      </c>
      <c r="I279" s="1430">
        <v>0</v>
      </c>
      <c r="J279" s="1430">
        <v>0</v>
      </c>
      <c r="K279" s="1430">
        <v>0</v>
      </c>
      <c r="L279" s="1430">
        <v>0</v>
      </c>
      <c r="M279" s="1419">
        <f>SUM(F279:L279)</f>
        <v>30750</v>
      </c>
      <c r="N279" s="3530"/>
    </row>
    <row r="280" spans="1:15" s="393" customFormat="1" ht="13.5" hidden="1" customHeight="1" thickBot="1">
      <c r="A280" s="1424"/>
      <c r="B280" s="3010" t="s">
        <v>14</v>
      </c>
      <c r="C280" s="1425"/>
      <c r="D280" s="1336">
        <f>E280+F280+G280+H280+I280+J280+K280+L280</f>
        <v>0</v>
      </c>
      <c r="E280" s="1427"/>
      <c r="F280" s="1428">
        <v>0</v>
      </c>
      <c r="G280" s="1428">
        <v>0</v>
      </c>
      <c r="H280" s="1428">
        <v>0</v>
      </c>
      <c r="I280" s="1428">
        <v>0</v>
      </c>
      <c r="J280" s="1428">
        <v>0</v>
      </c>
      <c r="K280" s="1428">
        <v>0</v>
      </c>
      <c r="L280" s="1428">
        <v>0</v>
      </c>
      <c r="M280" s="1145">
        <f>SUM(F280:L280)</f>
        <v>0</v>
      </c>
      <c r="N280" s="1890"/>
    </row>
    <row r="281" spans="1:15" s="3010" customFormat="1" ht="13.5" hidden="1" customHeight="1">
      <c r="A281" s="1424"/>
      <c r="B281" s="826" t="s">
        <v>22</v>
      </c>
      <c r="C281" s="1420"/>
      <c r="D281" s="876">
        <f>+D282</f>
        <v>0</v>
      </c>
      <c r="E281" s="876">
        <f t="shared" ref="E281:L281" si="186">+E282</f>
        <v>0</v>
      </c>
      <c r="F281" s="894">
        <f t="shared" si="186"/>
        <v>0</v>
      </c>
      <c r="G281" s="894">
        <f t="shared" si="186"/>
        <v>0</v>
      </c>
      <c r="H281" s="828">
        <f t="shared" si="186"/>
        <v>0</v>
      </c>
      <c r="I281" s="894">
        <f t="shared" si="186"/>
        <v>0</v>
      </c>
      <c r="J281" s="894">
        <f t="shared" si="186"/>
        <v>0</v>
      </c>
      <c r="K281" s="828">
        <f t="shared" si="186"/>
        <v>0</v>
      </c>
      <c r="L281" s="894">
        <f t="shared" si="186"/>
        <v>0</v>
      </c>
      <c r="M281" s="3468" t="s">
        <v>23</v>
      </c>
      <c r="N281" s="1890"/>
    </row>
    <row r="282" spans="1:15" s="3010" customFormat="1" ht="13.5" hidden="1" customHeight="1">
      <c r="A282" s="561"/>
      <c r="B282" s="783" t="s">
        <v>24</v>
      </c>
      <c r="C282" s="3450" t="s">
        <v>396</v>
      </c>
      <c r="D282" s="1422">
        <f t="shared" ref="D282:L282" si="187">+D283</f>
        <v>0</v>
      </c>
      <c r="E282" s="1422">
        <f t="shared" si="187"/>
        <v>0</v>
      </c>
      <c r="F282" s="851">
        <f t="shared" si="187"/>
        <v>0</v>
      </c>
      <c r="G282" s="851">
        <f t="shared" si="187"/>
        <v>0</v>
      </c>
      <c r="H282" s="959">
        <f t="shared" si="187"/>
        <v>0</v>
      </c>
      <c r="I282" s="960">
        <f t="shared" si="187"/>
        <v>0</v>
      </c>
      <c r="J282" s="851">
        <f t="shared" si="187"/>
        <v>0</v>
      </c>
      <c r="K282" s="959">
        <f t="shared" si="187"/>
        <v>0</v>
      </c>
      <c r="L282" s="960">
        <f t="shared" si="187"/>
        <v>0</v>
      </c>
      <c r="M282" s="3456"/>
      <c r="N282" s="1890"/>
    </row>
    <row r="283" spans="1:15" s="3010" customFormat="1" ht="22.5" hidden="1" customHeight="1" thickBot="1">
      <c r="A283" s="2999"/>
      <c r="B283" s="795" t="s">
        <v>14</v>
      </c>
      <c r="C283" s="3521"/>
      <c r="D283" s="1336">
        <f>E283+F283+G283+H283+I283+J283+K283+L283</f>
        <v>0</v>
      </c>
      <c r="E283" s="899">
        <v>0</v>
      </c>
      <c r="F283" s="961">
        <v>0</v>
      </c>
      <c r="G283" s="961">
        <v>0</v>
      </c>
      <c r="H283" s="962">
        <v>0</v>
      </c>
      <c r="I283" s="962">
        <v>0</v>
      </c>
      <c r="J283" s="961">
        <v>0</v>
      </c>
      <c r="K283" s="962">
        <v>0</v>
      </c>
      <c r="L283" s="962">
        <v>0</v>
      </c>
      <c r="M283" s="3457"/>
      <c r="N283" s="1891"/>
    </row>
    <row r="284" spans="1:15">
      <c r="A284" s="3513" t="s">
        <v>458</v>
      </c>
      <c r="B284" s="3513"/>
      <c r="C284" s="3513"/>
      <c r="D284" s="3513"/>
      <c r="E284" s="3513"/>
      <c r="F284" s="3513"/>
      <c r="G284" s="3513"/>
      <c r="H284" s="3513"/>
      <c r="I284" s="3513"/>
      <c r="J284" s="3513"/>
      <c r="K284" s="3513"/>
      <c r="L284" s="3513"/>
      <c r="M284" s="3513"/>
      <c r="N284" s="3513"/>
    </row>
    <row r="285" spans="1:15" ht="21.75" customHeight="1">
      <c r="A285" s="3513" t="s">
        <v>547</v>
      </c>
      <c r="B285" s="3513"/>
      <c r="C285" s="3513"/>
      <c r="D285" s="3513"/>
      <c r="E285" s="3513"/>
      <c r="F285" s="3513"/>
      <c r="G285" s="3513"/>
      <c r="H285" s="3513"/>
      <c r="I285" s="3513"/>
      <c r="J285" s="3513"/>
      <c r="K285" s="3513"/>
      <c r="L285" s="3513"/>
      <c r="M285" s="3513"/>
      <c r="N285" s="3513"/>
    </row>
    <row r="286" spans="1:15" ht="13.5" customHeight="1">
      <c r="A286" s="3013"/>
      <c r="B286" s="2005" t="s">
        <v>493</v>
      </c>
      <c r="C286" s="1996"/>
      <c r="D286" s="1996"/>
      <c r="E286" s="1996"/>
      <c r="F286" s="1996"/>
      <c r="G286" s="1996"/>
      <c r="H286" s="1996"/>
      <c r="I286" s="1996"/>
      <c r="J286" s="1996"/>
      <c r="K286" s="1996"/>
      <c r="L286" s="1996"/>
      <c r="M286" s="3013"/>
      <c r="N286" s="3013"/>
    </row>
    <row r="287" spans="1:15" ht="13.5" hidden="1" customHeight="1">
      <c r="A287" s="3013"/>
      <c r="B287" s="1925" t="s">
        <v>494</v>
      </c>
      <c r="C287" s="1996"/>
      <c r="D287" s="2002">
        <f>+D240+D135+D77+D54+D35</f>
        <v>201247068.69999999</v>
      </c>
      <c r="E287" s="2002">
        <f>+E240+E135+E77+E54+E35</f>
        <v>17290903</v>
      </c>
      <c r="F287" s="2002">
        <f t="shared" ref="F287:L287" si="188">+F240+F135+F77+F54+F35</f>
        <v>35025191.700000003</v>
      </c>
      <c r="G287" s="2002">
        <f t="shared" si="188"/>
        <v>30232702</v>
      </c>
      <c r="H287" s="2002">
        <f t="shared" si="188"/>
        <v>24974256</v>
      </c>
      <c r="I287" s="2002">
        <f t="shared" si="188"/>
        <v>23758007</v>
      </c>
      <c r="J287" s="2002">
        <f t="shared" si="188"/>
        <v>22559931</v>
      </c>
      <c r="K287" s="2002">
        <f t="shared" si="188"/>
        <v>22774129</v>
      </c>
      <c r="L287" s="2002">
        <f t="shared" si="188"/>
        <v>22602514</v>
      </c>
      <c r="M287" s="3013"/>
      <c r="N287" s="3013"/>
    </row>
    <row r="288" spans="1:15" ht="13.5" hidden="1" customHeight="1">
      <c r="A288" s="3013"/>
      <c r="B288" s="1925" t="s">
        <v>495</v>
      </c>
      <c r="C288" s="1996"/>
      <c r="D288" s="2002">
        <f>+D66+D88+D154+D167+D251</f>
        <v>71373063</v>
      </c>
      <c r="E288" s="2002">
        <f>+E66+E88+E154+E167+E251</f>
        <v>506550</v>
      </c>
      <c r="F288" s="2002">
        <f t="shared" ref="F288:L288" si="189">+F66+F88+F154+F167+F251</f>
        <v>3795768</v>
      </c>
      <c r="G288" s="2002">
        <f t="shared" si="189"/>
        <v>12236741</v>
      </c>
      <c r="H288" s="2002">
        <f t="shared" si="189"/>
        <v>35738004</v>
      </c>
      <c r="I288" s="2002">
        <f t="shared" si="189"/>
        <v>18611500</v>
      </c>
      <c r="J288" s="2002">
        <f t="shared" si="189"/>
        <v>161500</v>
      </c>
      <c r="K288" s="2002">
        <f t="shared" si="189"/>
        <v>161500</v>
      </c>
      <c r="L288" s="2002">
        <f t="shared" si="189"/>
        <v>161500</v>
      </c>
      <c r="M288" s="3013"/>
      <c r="N288" s="3013"/>
    </row>
    <row r="289" spans="1:14" ht="13.5" hidden="1" customHeight="1">
      <c r="A289" s="3013"/>
      <c r="B289" s="1925" t="s">
        <v>496</v>
      </c>
      <c r="C289" s="1996"/>
      <c r="D289" s="2003">
        <f>D287+D288</f>
        <v>272620131.69999999</v>
      </c>
      <c r="E289" s="2003">
        <f t="shared" ref="E289:L289" si="190">E287+E288</f>
        <v>17797453</v>
      </c>
      <c r="F289" s="2003">
        <f>F287+F288</f>
        <v>38820959.700000003</v>
      </c>
      <c r="G289" s="2003">
        <f t="shared" si="190"/>
        <v>42469443</v>
      </c>
      <c r="H289" s="2003">
        <f t="shared" si="190"/>
        <v>60712260</v>
      </c>
      <c r="I289" s="2003">
        <f t="shared" si="190"/>
        <v>42369507</v>
      </c>
      <c r="J289" s="2003">
        <f t="shared" si="190"/>
        <v>22721431</v>
      </c>
      <c r="K289" s="2003">
        <f t="shared" si="190"/>
        <v>22935629</v>
      </c>
      <c r="L289" s="2003">
        <f t="shared" si="190"/>
        <v>22764014</v>
      </c>
      <c r="M289" s="3013"/>
      <c r="N289" s="3013"/>
    </row>
    <row r="290" spans="1:14" ht="13.5" hidden="1" customHeight="1">
      <c r="A290" s="3013"/>
      <c r="B290" s="1999" t="s">
        <v>42</v>
      </c>
      <c r="C290" s="2001"/>
      <c r="D290" s="2004">
        <f>D20-D289</f>
        <v>0</v>
      </c>
      <c r="E290" s="2004">
        <f t="shared" ref="E290:L290" si="191">E20-E289</f>
        <v>0</v>
      </c>
      <c r="F290" s="2004">
        <f t="shared" si="191"/>
        <v>0</v>
      </c>
      <c r="G290" s="2004">
        <f t="shared" si="191"/>
        <v>0</v>
      </c>
      <c r="H290" s="2004">
        <f t="shared" si="191"/>
        <v>0</v>
      </c>
      <c r="I290" s="2004">
        <f t="shared" si="191"/>
        <v>0</v>
      </c>
      <c r="J290" s="2004">
        <f t="shared" si="191"/>
        <v>0</v>
      </c>
      <c r="K290" s="2004">
        <f t="shared" si="191"/>
        <v>0</v>
      </c>
      <c r="L290" s="2004">
        <f t="shared" si="191"/>
        <v>0</v>
      </c>
      <c r="M290" s="3013"/>
      <c r="N290" s="3013"/>
    </row>
    <row r="291" spans="1:14" ht="31.5" hidden="1" customHeight="1">
      <c r="A291" s="3013"/>
      <c r="B291" s="3013"/>
      <c r="C291" s="3013"/>
      <c r="D291" s="3013"/>
      <c r="E291" s="3013"/>
      <c r="F291" s="3013"/>
      <c r="G291" s="3013"/>
      <c r="H291" s="3013"/>
      <c r="I291" s="3013"/>
      <c r="J291" s="3013"/>
      <c r="K291" s="3013"/>
      <c r="L291" s="3013"/>
      <c r="M291" s="3013"/>
      <c r="N291" s="3013"/>
    </row>
    <row r="292" spans="1:14" ht="31.5" hidden="1" customHeight="1">
      <c r="A292" s="3013"/>
      <c r="B292" s="3013"/>
      <c r="C292" s="3013"/>
      <c r="D292" s="3013"/>
      <c r="E292" s="3013"/>
      <c r="F292" s="3013"/>
      <c r="G292" s="3013"/>
      <c r="H292" s="3013"/>
      <c r="I292" s="3013"/>
      <c r="J292" s="3013"/>
      <c r="K292" s="3013"/>
      <c r="L292" s="3013"/>
      <c r="M292" s="3013"/>
      <c r="N292" s="3013"/>
    </row>
    <row r="293" spans="1:14" hidden="1">
      <c r="B293" s="3012" t="s">
        <v>42</v>
      </c>
    </row>
    <row r="294" spans="1:14" hidden="1">
      <c r="B294" s="3512" t="s">
        <v>281</v>
      </c>
      <c r="C294" s="363" t="s">
        <v>111</v>
      </c>
      <c r="D294" s="366" t="e">
        <f>D135-#REF!-#REF!-F135-G135-H135-I135-J135-K135-L135</f>
        <v>#REF!</v>
      </c>
      <c r="E294" s="363" t="s">
        <v>111</v>
      </c>
    </row>
    <row r="295" spans="1:14" hidden="1">
      <c r="B295" s="3512"/>
      <c r="C295" s="363" t="s">
        <v>81</v>
      </c>
      <c r="D295" s="366" t="e">
        <f>D154-#REF!-#REF!-F154-G154-H154-I154-J154-K154-L154</f>
        <v>#REF!</v>
      </c>
      <c r="E295" s="363" t="s">
        <v>81</v>
      </c>
    </row>
    <row r="296" spans="1:14" hidden="1">
      <c r="B296" s="3512"/>
      <c r="D296" s="449" t="e">
        <f>D294+D295</f>
        <v>#REF!</v>
      </c>
    </row>
    <row r="297" spans="1:14" hidden="1"/>
    <row r="298" spans="1:14" hidden="1">
      <c r="B298" s="450" t="s">
        <v>583</v>
      </c>
      <c r="C298" s="363" t="s">
        <v>111</v>
      </c>
      <c r="D298" s="366" t="e">
        <f>+D125-#REF!-#REF!-F125-G125-H125-I125-J125-K125-L125</f>
        <v>#REF!</v>
      </c>
    </row>
    <row r="299" spans="1:14" hidden="1">
      <c r="C299" s="363" t="s">
        <v>81</v>
      </c>
      <c r="D299" s="366" t="e">
        <f>D144-#REF!-#REF!-F144-G144-H144-I144-J144-K144-L144</f>
        <v>#REF!</v>
      </c>
    </row>
    <row r="300" spans="1:14" hidden="1">
      <c r="D300" s="449" t="e">
        <f>D298+D299</f>
        <v>#REF!</v>
      </c>
    </row>
    <row r="301" spans="1:14" hidden="1"/>
    <row r="302" spans="1:14" hidden="1">
      <c r="B302" s="450" t="s">
        <v>283</v>
      </c>
      <c r="D302" s="449" t="e">
        <f>+D116-#REF!-#REF!-F116-G116-H116-I116-J116-K116-L116</f>
        <v>#REF!</v>
      </c>
    </row>
    <row r="303" spans="1:14" hidden="1"/>
    <row r="304" spans="1:14" hidden="1">
      <c r="B304" s="363" t="s">
        <v>282</v>
      </c>
      <c r="D304" s="449" t="e">
        <f>D300+D302</f>
        <v>#REF!</v>
      </c>
    </row>
    <row r="305" spans="2:13" hidden="1">
      <c r="E305" s="366"/>
    </row>
    <row r="306" spans="2:13" hidden="1">
      <c r="B306" s="363" t="s">
        <v>383</v>
      </c>
      <c r="D306" s="366">
        <f>+D116+D126</f>
        <v>218076464</v>
      </c>
      <c r="E306" s="366">
        <f>+E116+E126</f>
        <v>23982839</v>
      </c>
      <c r="F306" s="366">
        <f t="shared" ref="F306:L306" si="192">+F116+F126</f>
        <v>30236618</v>
      </c>
      <c r="G306" s="366">
        <f t="shared" si="192"/>
        <v>31621171</v>
      </c>
      <c r="H306" s="366">
        <f t="shared" si="192"/>
        <v>27742206</v>
      </c>
      <c r="I306" s="366">
        <f t="shared" si="192"/>
        <v>26733067</v>
      </c>
      <c r="J306" s="366">
        <f t="shared" si="192"/>
        <v>26987259</v>
      </c>
      <c r="K306" s="366">
        <f t="shared" si="192"/>
        <v>25481869</v>
      </c>
      <c r="L306" s="366">
        <f t="shared" si="192"/>
        <v>25291435</v>
      </c>
      <c r="M306" s="366">
        <f>SUM(E306:L306)-D306</f>
        <v>0</v>
      </c>
    </row>
    <row r="307" spans="2:13" hidden="1">
      <c r="B307" s="363" t="s">
        <v>384</v>
      </c>
      <c r="D307" s="366">
        <f>+D145</f>
        <v>2060891</v>
      </c>
      <c r="E307" s="366">
        <f>+E145</f>
        <v>357504</v>
      </c>
      <c r="F307" s="366">
        <f t="shared" ref="F307:L307" si="193">+F145</f>
        <v>521058</v>
      </c>
      <c r="G307" s="366">
        <f t="shared" si="193"/>
        <v>369922</v>
      </c>
      <c r="H307" s="366">
        <f t="shared" si="193"/>
        <v>166407</v>
      </c>
      <c r="I307" s="366">
        <f t="shared" si="193"/>
        <v>161500</v>
      </c>
      <c r="J307" s="366">
        <f t="shared" si="193"/>
        <v>161500</v>
      </c>
      <c r="K307" s="366">
        <f t="shared" si="193"/>
        <v>161500</v>
      </c>
      <c r="L307" s="366">
        <f t="shared" si="193"/>
        <v>161500</v>
      </c>
      <c r="M307" s="366">
        <f>SUM(E307:L307)-D307</f>
        <v>0</v>
      </c>
    </row>
    <row r="308" spans="2:13" hidden="1"/>
    <row r="309" spans="2:13" hidden="1">
      <c r="B309" s="363" t="s">
        <v>382</v>
      </c>
      <c r="D309" s="366">
        <f>+D135+'Tab. 6B Polit społ i rozwój prz'!D217+D154+'Tab. 6B Polit społ i rozwój prz'!D229</f>
        <v>249298062</v>
      </c>
      <c r="F309" s="366">
        <f>+F135+'Tab. 6B Polit społ i rozwój prz'!F217+F154+'Tab. 6B Polit społ i rozwój prz'!F229</f>
        <v>37852552</v>
      </c>
      <c r="G309" s="366">
        <f>+G135+'Tab. 6B Polit społ i rozwój prz'!G217+G154+'Tab. 6B Polit społ i rozwój prz'!G229</f>
        <v>35218998</v>
      </c>
      <c r="H309" s="366">
        <f>+H135+'Tab. 6B Polit społ i rozwój prz'!H217+H154+'Tab. 6B Polit społ i rozwój prz'!H229</f>
        <v>31328558</v>
      </c>
      <c r="I309" s="366">
        <f>+I135+'Tab. 6B Polit społ i rozwój prz'!I217+I154+'Tab. 6B Polit społ i rozwój prz'!I229</f>
        <v>30231855</v>
      </c>
      <c r="J309" s="366">
        <f>+J135+'Tab. 6B Polit społ i rozwój prz'!J217+J154+'Tab. 6B Polit społ i rozwój prz'!J229</f>
        <v>30471862</v>
      </c>
      <c r="K309" s="366">
        <f>+K135+'Tab. 6B Polit społ i rozwój prz'!K217+K154+'Tab. 6B Polit społ i rozwój prz'!K229</f>
        <v>30200542</v>
      </c>
      <c r="L309" s="366">
        <f>+L135+'Tab. 6B Polit społ i rozwój prz'!L217+L154+'Tab. 6B Polit społ i rozwój prz'!L229</f>
        <v>29767279</v>
      </c>
      <c r="M309" s="366">
        <f>SUM(E309:L309)-D309</f>
        <v>-24226416</v>
      </c>
    </row>
    <row r="310" spans="2:13" hidden="1">
      <c r="B310" s="363" t="s">
        <v>381</v>
      </c>
      <c r="D310" s="366">
        <f>+D114+D139+'Tab. 6B Polit społ i rozwój prz'!D211+'Tab. 6B Polit społ i rozwój prz'!D223</f>
        <v>296468308</v>
      </c>
      <c r="E310" s="366">
        <f>+E114+E139+'Tab. 6B Polit społ i rozwój prz'!E211+'Tab. 6B Polit społ i rozwój prz'!E223</f>
        <v>33412726</v>
      </c>
      <c r="F310" s="366">
        <f>+F114+F139+'Tab. 6B Polit społ i rozwój prz'!F211+'Tab. 6B Polit społ i rozwój prz'!F223</f>
        <v>41210758</v>
      </c>
      <c r="G310" s="366">
        <f>+G114+G139+'Tab. 6B Polit społ i rozwój prz'!G211+'Tab. 6B Polit społ i rozwój prz'!G223</f>
        <v>41951096</v>
      </c>
      <c r="H310" s="366">
        <f>+H114+H139+'Tab. 6B Polit społ i rozwój prz'!H211+'Tab. 6B Polit społ i rozwój prz'!H223</f>
        <v>37658316</v>
      </c>
      <c r="I310" s="366">
        <f>+I114+I139+'Tab. 6B Polit społ i rozwój prz'!I211+'Tab. 6B Polit społ i rozwój prz'!I223</f>
        <v>36659861</v>
      </c>
      <c r="J310" s="366">
        <f>+J114+J139+'Tab. 6B Polit społ i rozwój prz'!J211+'Tab. 6B Polit społ i rozwój prz'!J223</f>
        <v>36810053</v>
      </c>
      <c r="K310" s="366">
        <f>+K114+K139+'Tab. 6B Polit społ i rozwój prz'!K211+'Tab. 6B Polit społ i rozwój prz'!K223</f>
        <v>34584662</v>
      </c>
      <c r="L310" s="366">
        <f>+L114+L139+'Tab. 6B Polit społ i rozwój prz'!L211+'Tab. 6B Polit społ i rozwój prz'!L223</f>
        <v>34180836</v>
      </c>
      <c r="M310" s="366">
        <f>SUM(E310:L310)-D310</f>
        <v>0</v>
      </c>
    </row>
    <row r="311" spans="2:13" hidden="1"/>
    <row r="312" spans="2:13" hidden="1"/>
    <row r="313" spans="2:13" hidden="1"/>
    <row r="314" spans="2:13" hidden="1"/>
    <row r="315" spans="2:13" hidden="1">
      <c r="B315" s="363" t="s">
        <v>322</v>
      </c>
      <c r="C315" s="363" t="s">
        <v>320</v>
      </c>
      <c r="D315" s="366">
        <f>+D230+D196</f>
        <v>18000000</v>
      </c>
      <c r="F315" s="366">
        <f t="shared" ref="F315:K315" si="194">+F230+F196</f>
        <v>3013177</v>
      </c>
      <c r="G315" s="366">
        <f t="shared" si="194"/>
        <v>5294849</v>
      </c>
      <c r="H315" s="366">
        <f t="shared" si="194"/>
        <v>9331597</v>
      </c>
      <c r="I315" s="366">
        <f t="shared" si="194"/>
        <v>0</v>
      </c>
      <c r="J315" s="366">
        <f t="shared" si="194"/>
        <v>0</v>
      </c>
      <c r="K315" s="366">
        <f t="shared" si="194"/>
        <v>0</v>
      </c>
      <c r="M315" s="366">
        <f>SUM(E315:L315)-D315</f>
        <v>-360377</v>
      </c>
    </row>
    <row r="316" spans="2:13" hidden="1">
      <c r="C316" s="363" t="s">
        <v>321</v>
      </c>
      <c r="D316" s="366">
        <f>+D188+D215</f>
        <v>0</v>
      </c>
      <c r="F316" s="366">
        <f t="shared" ref="F316:K316" si="195">+F188+F215</f>
        <v>0</v>
      </c>
      <c r="G316" s="366">
        <f t="shared" si="195"/>
        <v>0</v>
      </c>
      <c r="H316" s="366">
        <f t="shared" si="195"/>
        <v>0</v>
      </c>
      <c r="I316" s="366">
        <f t="shared" si="195"/>
        <v>0</v>
      </c>
      <c r="J316" s="366">
        <f t="shared" si="195"/>
        <v>0</v>
      </c>
      <c r="K316" s="366">
        <f t="shared" si="195"/>
        <v>0</v>
      </c>
      <c r="M316" s="366">
        <f>SUM(E316:L316)-D316</f>
        <v>0</v>
      </c>
    </row>
    <row r="317" spans="2:13" hidden="1">
      <c r="D317" s="366">
        <f>SUM(D315:D316)</f>
        <v>18000000</v>
      </c>
      <c r="E317" s="366">
        <f t="shared" ref="E317:K317" si="196">SUM(E315:E316)</f>
        <v>0</v>
      </c>
      <c r="F317" s="366">
        <f t="shared" si="196"/>
        <v>3013177</v>
      </c>
      <c r="G317" s="366">
        <f t="shared" si="196"/>
        <v>5294849</v>
      </c>
      <c r="H317" s="366">
        <f t="shared" si="196"/>
        <v>9331597</v>
      </c>
      <c r="I317" s="366">
        <f t="shared" si="196"/>
        <v>0</v>
      </c>
      <c r="J317" s="366">
        <f t="shared" si="196"/>
        <v>0</v>
      </c>
      <c r="K317" s="366">
        <f t="shared" si="196"/>
        <v>0</v>
      </c>
      <c r="M317" s="366">
        <f>SUM(E317:L317)-D317</f>
        <v>-360377</v>
      </c>
    </row>
    <row r="318" spans="2:13" hidden="1">
      <c r="B318" s="363" t="s">
        <v>385</v>
      </c>
      <c r="D318" s="366">
        <f>D164</f>
        <v>18000000</v>
      </c>
      <c r="E318" s="366">
        <f t="shared" ref="E318:K318" si="197">E164</f>
        <v>360377</v>
      </c>
      <c r="F318" s="366">
        <f t="shared" si="197"/>
        <v>3013177</v>
      </c>
      <c r="G318" s="366">
        <f t="shared" si="197"/>
        <v>5294849</v>
      </c>
      <c r="H318" s="366">
        <f t="shared" si="197"/>
        <v>9331597</v>
      </c>
      <c r="I318" s="366">
        <f t="shared" si="197"/>
        <v>0</v>
      </c>
      <c r="J318" s="366">
        <f t="shared" si="197"/>
        <v>0</v>
      </c>
      <c r="K318" s="366">
        <f t="shared" si="197"/>
        <v>0</v>
      </c>
      <c r="M318" s="366">
        <f>SUM(E318:L318)-D318</f>
        <v>0</v>
      </c>
    </row>
    <row r="319" spans="2:13" hidden="1"/>
    <row r="320" spans="2:13" hidden="1">
      <c r="B320" s="363" t="s">
        <v>386</v>
      </c>
      <c r="D320" s="366">
        <f>+D309+D317</f>
        <v>267298062</v>
      </c>
      <c r="E320" s="366">
        <f t="shared" ref="E320:L320" si="198">+E309+E317</f>
        <v>0</v>
      </c>
      <c r="F320" s="366">
        <f t="shared" si="198"/>
        <v>40865729</v>
      </c>
      <c r="G320" s="366">
        <f t="shared" si="198"/>
        <v>40513847</v>
      </c>
      <c r="H320" s="366">
        <f t="shared" si="198"/>
        <v>40660155</v>
      </c>
      <c r="I320" s="366">
        <f t="shared" si="198"/>
        <v>30231855</v>
      </c>
      <c r="J320" s="366">
        <f t="shared" si="198"/>
        <v>30471862</v>
      </c>
      <c r="K320" s="366">
        <f t="shared" si="198"/>
        <v>30200542</v>
      </c>
      <c r="L320" s="366">
        <f t="shared" si="198"/>
        <v>29767279</v>
      </c>
      <c r="M320" s="366">
        <f>SUM(E320:L320)-D320</f>
        <v>-24586793</v>
      </c>
    </row>
    <row r="321" spans="2:13" hidden="1">
      <c r="B321" s="363" t="s">
        <v>387</v>
      </c>
      <c r="D321" s="366">
        <f>+D310+D318</f>
        <v>314468308</v>
      </c>
      <c r="E321" s="366">
        <f t="shared" ref="E321:L321" si="199">+E310+E318</f>
        <v>33773103</v>
      </c>
      <c r="F321" s="366">
        <f t="shared" si="199"/>
        <v>44223935</v>
      </c>
      <c r="G321" s="366">
        <f t="shared" si="199"/>
        <v>47245945</v>
      </c>
      <c r="H321" s="366">
        <f t="shared" si="199"/>
        <v>46989913</v>
      </c>
      <c r="I321" s="366">
        <f t="shared" si="199"/>
        <v>36659861</v>
      </c>
      <c r="J321" s="366">
        <f t="shared" si="199"/>
        <v>36810053</v>
      </c>
      <c r="K321" s="366">
        <f t="shared" si="199"/>
        <v>34584662</v>
      </c>
      <c r="L321" s="366">
        <f t="shared" si="199"/>
        <v>34180836</v>
      </c>
      <c r="M321" s="366">
        <f>SUM(E321:L321)-D321</f>
        <v>0</v>
      </c>
    </row>
    <row r="322" spans="2:13" hidden="1"/>
    <row r="323" spans="2:13" hidden="1"/>
    <row r="324" spans="2:13" hidden="1"/>
    <row r="325" spans="2:13" hidden="1"/>
    <row r="326" spans="2:13" hidden="1"/>
    <row r="327" spans="2:13" hidden="1"/>
    <row r="328" spans="2:13" hidden="1"/>
    <row r="329" spans="2:13" hidden="1"/>
    <row r="330" spans="2:13" hidden="1"/>
    <row r="331" spans="2:13" hidden="1"/>
    <row r="332" spans="2:13" hidden="1"/>
    <row r="333" spans="2:13" hidden="1"/>
    <row r="334" spans="2:13" hidden="1"/>
    <row r="335" spans="2:13" hidden="1"/>
    <row r="336" spans="2:13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559" spans="1:14" ht="13.5" thickBot="1"/>
    <row r="560" spans="1:14" ht="33.75">
      <c r="A560" s="451"/>
      <c r="B560" s="452" t="s">
        <v>69</v>
      </c>
      <c r="C560" s="452"/>
      <c r="D560" s="453"/>
      <c r="E560" s="453"/>
      <c r="F560" s="453"/>
      <c r="G560" s="453"/>
      <c r="H560" s="453"/>
      <c r="I560" s="453"/>
      <c r="J560" s="453"/>
      <c r="K560" s="453"/>
      <c r="L560" s="453"/>
      <c r="M560" s="453"/>
      <c r="N560" s="454"/>
    </row>
    <row r="561" spans="1:14">
      <c r="A561" s="455"/>
      <c r="N561" s="456"/>
    </row>
    <row r="562" spans="1:14">
      <c r="A562" s="455"/>
      <c r="N562" s="456"/>
    </row>
    <row r="563" spans="1:14">
      <c r="A563" s="455"/>
      <c r="N563" s="456"/>
    </row>
    <row r="564" spans="1:14">
      <c r="A564" s="455"/>
      <c r="N564" s="456"/>
    </row>
    <row r="565" spans="1:14">
      <c r="A565" s="455"/>
      <c r="N565" s="456"/>
    </row>
    <row r="566" spans="1:14">
      <c r="A566" s="455"/>
      <c r="N566" s="456"/>
    </row>
    <row r="567" spans="1:14">
      <c r="A567" s="455"/>
      <c r="N567" s="456"/>
    </row>
    <row r="568" spans="1:14">
      <c r="A568" s="455"/>
      <c r="N568" s="456"/>
    </row>
    <row r="569" spans="1:14">
      <c r="A569" s="455"/>
      <c r="N569" s="456"/>
    </row>
    <row r="570" spans="1:14">
      <c r="A570" s="455"/>
      <c r="N570" s="456"/>
    </row>
    <row r="571" spans="1:14" ht="13.5" thickBot="1">
      <c r="A571" s="457"/>
      <c r="B571" s="458"/>
      <c r="C571" s="458"/>
      <c r="D571" s="458"/>
      <c r="E571" s="458"/>
      <c r="F571" s="458"/>
      <c r="G571" s="458"/>
      <c r="H571" s="458"/>
      <c r="I571" s="458"/>
      <c r="J571" s="458"/>
      <c r="K571" s="458"/>
      <c r="L571" s="458"/>
      <c r="M571" s="458"/>
      <c r="N571" s="459"/>
    </row>
  </sheetData>
  <mergeCells count="106">
    <mergeCell ref="N245:N255"/>
    <mergeCell ref="C247:C250"/>
    <mergeCell ref="M251:M255"/>
    <mergeCell ref="N232:N244"/>
    <mergeCell ref="C234:C239"/>
    <mergeCell ref="M240:M244"/>
    <mergeCell ref="C241:C244"/>
    <mergeCell ref="C177:C182"/>
    <mergeCell ref="C186:C188"/>
    <mergeCell ref="C191:C197"/>
    <mergeCell ref="C209:C211"/>
    <mergeCell ref="C218:C224"/>
    <mergeCell ref="C201:C202"/>
    <mergeCell ref="M225:M231"/>
    <mergeCell ref="C199:C200"/>
    <mergeCell ref="C207:C208"/>
    <mergeCell ref="C226:C229"/>
    <mergeCell ref="C213:C214"/>
    <mergeCell ref="M212:M214"/>
    <mergeCell ref="B294:B296"/>
    <mergeCell ref="A284:N284"/>
    <mergeCell ref="A268:A271"/>
    <mergeCell ref="N268:N271"/>
    <mergeCell ref="N258:N267"/>
    <mergeCell ref="C262:C264"/>
    <mergeCell ref="C266:C267"/>
    <mergeCell ref="C282:C283"/>
    <mergeCell ref="M281:M283"/>
    <mergeCell ref="N272:N275"/>
    <mergeCell ref="C274:C275"/>
    <mergeCell ref="A272:A275"/>
    <mergeCell ref="C270:C271"/>
    <mergeCell ref="A276:A279"/>
    <mergeCell ref="C278:C279"/>
    <mergeCell ref="N276:N279"/>
    <mergeCell ref="A285:N285"/>
    <mergeCell ref="A5:N5"/>
    <mergeCell ref="B6:B7"/>
    <mergeCell ref="C6:C7"/>
    <mergeCell ref="D6:D7"/>
    <mergeCell ref="N6:N7"/>
    <mergeCell ref="M6:M7"/>
    <mergeCell ref="F6:L6"/>
    <mergeCell ref="M20:M25"/>
    <mergeCell ref="M35:M37"/>
    <mergeCell ref="A82:A92"/>
    <mergeCell ref="N82:N92"/>
    <mergeCell ref="C84:C87"/>
    <mergeCell ref="C89:C92"/>
    <mergeCell ref="M88:M92"/>
    <mergeCell ref="N71:N81"/>
    <mergeCell ref="C73:C76"/>
    <mergeCell ref="C78:C81"/>
    <mergeCell ref="A71:A81"/>
    <mergeCell ref="M66:M70"/>
    <mergeCell ref="M77:M81"/>
    <mergeCell ref="A26:A37"/>
    <mergeCell ref="N26:N37"/>
    <mergeCell ref="C28:C31"/>
    <mergeCell ref="C36:C37"/>
    <mergeCell ref="A59:A70"/>
    <mergeCell ref="N59:N70"/>
    <mergeCell ref="C61:C65"/>
    <mergeCell ref="C67:C70"/>
    <mergeCell ref="N38:N58"/>
    <mergeCell ref="C40:C50"/>
    <mergeCell ref="M54:M58"/>
    <mergeCell ref="C55:C58"/>
    <mergeCell ref="A38:A58"/>
    <mergeCell ref="A216:A228"/>
    <mergeCell ref="A232:A244"/>
    <mergeCell ref="A245:A255"/>
    <mergeCell ref="M265:M267"/>
    <mergeCell ref="C159:C166"/>
    <mergeCell ref="C184:C185"/>
    <mergeCell ref="M198:M204"/>
    <mergeCell ref="M183:M188"/>
    <mergeCell ref="A157:A171"/>
    <mergeCell ref="A175:A187"/>
    <mergeCell ref="C252:C255"/>
    <mergeCell ref="A189:A202"/>
    <mergeCell ref="A205:A214"/>
    <mergeCell ref="O135:R156"/>
    <mergeCell ref="N157:N171"/>
    <mergeCell ref="N113:N137"/>
    <mergeCell ref="M135:M137"/>
    <mergeCell ref="A93:A103"/>
    <mergeCell ref="M99:M103"/>
    <mergeCell ref="M110:M112"/>
    <mergeCell ref="N93:N103"/>
    <mergeCell ref="C95:C98"/>
    <mergeCell ref="C100:C103"/>
    <mergeCell ref="A104:A112"/>
    <mergeCell ref="A113:A137"/>
    <mergeCell ref="A138:A156"/>
    <mergeCell ref="C155:C156"/>
    <mergeCell ref="C140:C145"/>
    <mergeCell ref="C136:C137"/>
    <mergeCell ref="C115:C126"/>
    <mergeCell ref="N104:N112"/>
    <mergeCell ref="C106:C109"/>
    <mergeCell ref="C111:C112"/>
    <mergeCell ref="N138:N156"/>
    <mergeCell ref="M154:M156"/>
    <mergeCell ref="C168:C171"/>
    <mergeCell ref="M167:M171"/>
  </mergeCells>
  <printOptions horizontalCentered="1"/>
  <pageMargins left="0.15748031496062992" right="0.15748031496062992" top="0.47244094488188981" bottom="0.31496062992125984" header="0.15748031496062992" footer="0.15748031496062992"/>
  <pageSetup paperSize="9" scale="70" firstPageNumber="30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</oddHeader>
    <oddFooter>&amp;C&amp;8&amp;P</oddFooter>
  </headerFooter>
  <rowBreaks count="3" manualBreakCount="3">
    <brk id="58" max="24" man="1"/>
    <brk id="137" max="24" man="1"/>
    <brk id="256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X458"/>
  <sheetViews>
    <sheetView showGridLines="0" zoomScaleNormal="100" zoomScaleSheetLayoutView="100" workbookViewId="0">
      <pane xSplit="3" ySplit="6" topLeftCell="D7" activePane="bottomRight" state="frozen"/>
      <selection activeCell="J81" sqref="J81"/>
      <selection pane="topRight" activeCell="J81" sqref="J81"/>
      <selection pane="bottomLeft" activeCell="J81" sqref="J81"/>
      <selection pane="bottomRight"/>
    </sheetView>
  </sheetViews>
  <sheetFormatPr defaultColWidth="9.140625" defaultRowHeight="11.25"/>
  <cols>
    <col min="1" max="1" width="4.140625" style="481" customWidth="1"/>
    <col min="2" max="2" width="56.140625" style="372" customWidth="1"/>
    <col min="3" max="3" width="10.5703125" style="372" customWidth="1"/>
    <col min="4" max="4" width="13.140625" style="372" customWidth="1"/>
    <col min="5" max="5" width="12.42578125" style="372" customWidth="1"/>
    <col min="6" max="6" width="8.85546875" style="372" customWidth="1"/>
    <col min="7" max="7" width="10" style="372" customWidth="1"/>
    <col min="8" max="8" width="10.28515625" style="372" customWidth="1"/>
    <col min="9" max="9" width="9.85546875" style="372" customWidth="1"/>
    <col min="10" max="10" width="9.5703125" style="372" customWidth="1"/>
    <col min="11" max="11" width="10" style="372" customWidth="1"/>
    <col min="12" max="12" width="8.28515625" style="372" customWidth="1"/>
    <col min="13" max="13" width="12.42578125" style="372" customWidth="1"/>
    <col min="14" max="14" width="15.28515625" style="657" customWidth="1"/>
    <col min="15" max="15" width="3.28515625" style="372" customWidth="1"/>
    <col min="16" max="16" width="13.42578125" style="372" hidden="1" customWidth="1"/>
    <col min="17" max="18" width="18.28515625" style="372" hidden="1" customWidth="1"/>
    <col min="19" max="33" width="18.28515625" style="372" customWidth="1"/>
    <col min="34" max="75" width="3.28515625" style="372" customWidth="1"/>
    <col min="76" max="16384" width="9.140625" style="372"/>
  </cols>
  <sheetData>
    <row r="1" spans="1:76" s="656" customFormat="1" ht="18" customHeight="1">
      <c r="A1" s="671"/>
      <c r="B1" s="672"/>
      <c r="C1" s="671"/>
      <c r="D1" s="671"/>
      <c r="E1" s="671"/>
      <c r="F1" s="671"/>
      <c r="G1" s="368" t="s">
        <v>226</v>
      </c>
      <c r="H1" s="368"/>
      <c r="I1" s="368"/>
      <c r="J1" s="368"/>
      <c r="K1" s="368"/>
      <c r="L1" s="368"/>
      <c r="M1" s="6"/>
      <c r="N1" s="7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  <c r="AR1" s="655"/>
      <c r="AS1" s="655"/>
      <c r="AT1" s="655"/>
      <c r="AU1" s="655"/>
      <c r="AV1" s="655"/>
      <c r="AW1" s="655"/>
      <c r="AX1" s="655"/>
      <c r="AY1" s="655"/>
      <c r="AZ1" s="655"/>
      <c r="BA1" s="655"/>
      <c r="BB1" s="655"/>
      <c r="BC1" s="655"/>
      <c r="BD1" s="655"/>
      <c r="BE1" s="655"/>
      <c r="BF1" s="655"/>
      <c r="BG1" s="655"/>
      <c r="BH1" s="655"/>
      <c r="BI1" s="655"/>
      <c r="BJ1" s="655"/>
      <c r="BK1" s="655"/>
      <c r="BL1" s="655"/>
      <c r="BM1" s="655"/>
      <c r="BN1" s="655"/>
      <c r="BO1" s="655"/>
      <c r="BP1" s="655"/>
      <c r="BQ1" s="655"/>
      <c r="BR1" s="655"/>
      <c r="BS1" s="655"/>
      <c r="BT1" s="655"/>
      <c r="BU1" s="655"/>
      <c r="BV1" s="655"/>
      <c r="BW1" s="655"/>
      <c r="BX1" s="371"/>
    </row>
    <row r="2" spans="1:76" s="656" customFormat="1" ht="2.25" customHeight="1">
      <c r="A2" s="673"/>
      <c r="B2" s="672"/>
      <c r="C2" s="671"/>
      <c r="D2" s="674"/>
      <c r="E2" s="671"/>
      <c r="F2" s="369"/>
      <c r="G2" s="369"/>
      <c r="H2" s="369"/>
      <c r="I2" s="369"/>
      <c r="J2" s="369"/>
      <c r="K2" s="369"/>
      <c r="L2" s="369"/>
      <c r="M2" s="6"/>
      <c r="N2" s="7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655"/>
      <c r="AL2" s="655"/>
      <c r="AM2" s="655"/>
      <c r="AN2" s="655"/>
      <c r="AO2" s="655"/>
      <c r="AP2" s="655"/>
      <c r="AQ2" s="655"/>
      <c r="AR2" s="655"/>
      <c r="AS2" s="655"/>
      <c r="AT2" s="655"/>
      <c r="AU2" s="655"/>
      <c r="AV2" s="655"/>
      <c r="AW2" s="655"/>
      <c r="AX2" s="655"/>
      <c r="AY2" s="655"/>
      <c r="AZ2" s="655"/>
      <c r="BA2" s="655"/>
      <c r="BB2" s="655"/>
      <c r="BC2" s="655"/>
      <c r="BD2" s="655"/>
      <c r="BE2" s="655"/>
      <c r="BF2" s="655"/>
      <c r="BG2" s="655"/>
      <c r="BH2" s="655"/>
      <c r="BI2" s="655"/>
      <c r="BJ2" s="655"/>
      <c r="BK2" s="655"/>
      <c r="BL2" s="655"/>
      <c r="BM2" s="655"/>
      <c r="BN2" s="655"/>
      <c r="BO2" s="655"/>
      <c r="BP2" s="655"/>
      <c r="BQ2" s="655"/>
      <c r="BR2" s="655"/>
      <c r="BS2" s="655"/>
      <c r="BT2" s="655"/>
      <c r="BU2" s="655"/>
      <c r="BV2" s="655"/>
      <c r="BW2" s="655"/>
      <c r="BX2" s="371"/>
    </row>
    <row r="3" spans="1:76" s="656" customFormat="1" ht="25.5" customHeight="1" thickBot="1">
      <c r="A3" s="1338" t="s">
        <v>166</v>
      </c>
      <c r="B3" s="1339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"/>
      <c r="N3" s="7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5"/>
      <c r="AI3" s="655"/>
      <c r="AJ3" s="655"/>
      <c r="AK3" s="655"/>
      <c r="AL3" s="655"/>
      <c r="AM3" s="655"/>
      <c r="AN3" s="655"/>
      <c r="AO3" s="655"/>
      <c r="AP3" s="655"/>
      <c r="AQ3" s="655"/>
      <c r="AR3" s="655"/>
      <c r="AS3" s="655"/>
      <c r="AT3" s="655"/>
      <c r="AU3" s="655"/>
      <c r="AV3" s="655"/>
      <c r="AW3" s="655"/>
      <c r="AX3" s="655"/>
      <c r="AY3" s="655"/>
      <c r="AZ3" s="655"/>
      <c r="BA3" s="655"/>
      <c r="BB3" s="655"/>
      <c r="BC3" s="655"/>
      <c r="BD3" s="655"/>
      <c r="BE3" s="655"/>
      <c r="BF3" s="655"/>
      <c r="BG3" s="655"/>
      <c r="BH3" s="655"/>
      <c r="BI3" s="655"/>
      <c r="BJ3" s="655"/>
      <c r="BK3" s="655"/>
      <c r="BL3" s="655"/>
      <c r="BM3" s="655"/>
      <c r="BN3" s="655"/>
      <c r="BO3" s="655"/>
      <c r="BP3" s="655"/>
      <c r="BQ3" s="655"/>
      <c r="BR3" s="655"/>
      <c r="BS3" s="655"/>
      <c r="BT3" s="655"/>
      <c r="BU3" s="655"/>
      <c r="BV3" s="655"/>
      <c r="BW3" s="655"/>
      <c r="BX3" s="371"/>
    </row>
    <row r="4" spans="1:76" ht="82.5" customHeight="1" thickBot="1">
      <c r="A4" s="675"/>
      <c r="B4" s="3574" t="s">
        <v>75</v>
      </c>
      <c r="C4" s="3575" t="s">
        <v>71</v>
      </c>
      <c r="D4" s="3420" t="s">
        <v>72</v>
      </c>
      <c r="E4" s="2725" t="s">
        <v>296</v>
      </c>
      <c r="F4" s="3510" t="s">
        <v>563</v>
      </c>
      <c r="G4" s="3230"/>
      <c r="H4" s="3230"/>
      <c r="I4" s="3230"/>
      <c r="J4" s="3230"/>
      <c r="K4" s="3230"/>
      <c r="L4" s="3231"/>
      <c r="M4" s="3583" t="s">
        <v>411</v>
      </c>
      <c r="N4" s="3410" t="s">
        <v>73</v>
      </c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  <c r="BV4" s="371"/>
      <c r="BW4" s="371"/>
      <c r="BX4" s="371"/>
    </row>
    <row r="5" spans="1:76" ht="18" customHeight="1" thickBot="1">
      <c r="A5" s="676"/>
      <c r="B5" s="3574"/>
      <c r="C5" s="3576"/>
      <c r="D5" s="3422"/>
      <c r="E5" s="345" t="s">
        <v>555</v>
      </c>
      <c r="F5" s="2750" t="s">
        <v>5</v>
      </c>
      <c r="G5" s="2750" t="s">
        <v>6</v>
      </c>
      <c r="H5" s="373" t="s">
        <v>229</v>
      </c>
      <c r="I5" s="373" t="s">
        <v>231</v>
      </c>
      <c r="J5" s="373" t="s">
        <v>286</v>
      </c>
      <c r="K5" s="373" t="s">
        <v>287</v>
      </c>
      <c r="L5" s="373" t="s">
        <v>285</v>
      </c>
      <c r="M5" s="3584"/>
      <c r="N5" s="3412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1"/>
      <c r="BI5" s="371"/>
      <c r="BJ5" s="371"/>
      <c r="BK5" s="371"/>
      <c r="BL5" s="371"/>
      <c r="BM5" s="371"/>
      <c r="BN5" s="371"/>
      <c r="BO5" s="371"/>
      <c r="BP5" s="371"/>
      <c r="BQ5" s="371"/>
      <c r="BR5" s="371"/>
      <c r="BS5" s="371"/>
      <c r="BT5" s="371"/>
      <c r="BU5" s="371"/>
      <c r="BV5" s="371"/>
      <c r="BW5" s="371"/>
      <c r="BX5" s="371"/>
    </row>
    <row r="6" spans="1:76" ht="14.25" customHeight="1">
      <c r="A6" s="1465">
        <v>1</v>
      </c>
      <c r="B6" s="1466">
        <v>2</v>
      </c>
      <c r="C6" s="1467" t="s">
        <v>121</v>
      </c>
      <c r="D6" s="1467" t="s">
        <v>122</v>
      </c>
      <c r="E6" s="1467">
        <v>5</v>
      </c>
      <c r="F6" s="1467">
        <v>6</v>
      </c>
      <c r="G6" s="1467">
        <v>7</v>
      </c>
      <c r="H6" s="1467">
        <v>8</v>
      </c>
      <c r="I6" s="1467">
        <v>9</v>
      </c>
      <c r="J6" s="1467">
        <v>10</v>
      </c>
      <c r="K6" s="1467">
        <v>11</v>
      </c>
      <c r="L6" s="1467">
        <v>12</v>
      </c>
      <c r="M6" s="1468">
        <v>13</v>
      </c>
      <c r="N6" s="1469">
        <v>14</v>
      </c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371"/>
      <c r="BR6" s="371"/>
      <c r="BS6" s="371"/>
      <c r="BT6" s="371"/>
      <c r="BU6" s="371"/>
      <c r="BV6" s="371"/>
      <c r="BW6" s="371"/>
      <c r="BX6" s="371"/>
    </row>
    <row r="7" spans="1:76" ht="14.25" customHeight="1">
      <c r="A7" s="963"/>
      <c r="B7" s="2397" t="s">
        <v>76</v>
      </c>
      <c r="C7" s="2398"/>
      <c r="D7" s="2399">
        <f>+D9</f>
        <v>29987978</v>
      </c>
      <c r="E7" s="2399">
        <f>+E9</f>
        <v>353841</v>
      </c>
      <c r="F7" s="2399">
        <f t="shared" ref="F7:M7" si="0">+F9</f>
        <v>3292386</v>
      </c>
      <c r="G7" s="2399">
        <f t="shared" si="0"/>
        <v>6045126</v>
      </c>
      <c r="H7" s="2399">
        <f t="shared" si="0"/>
        <v>9600000</v>
      </c>
      <c r="I7" s="2399">
        <f t="shared" si="0"/>
        <v>5657500</v>
      </c>
      <c r="J7" s="2399">
        <f t="shared" si="0"/>
        <v>3566880</v>
      </c>
      <c r="K7" s="2399">
        <f t="shared" si="0"/>
        <v>1472245</v>
      </c>
      <c r="L7" s="2399">
        <f t="shared" si="0"/>
        <v>0</v>
      </c>
      <c r="M7" s="168">
        <f t="shared" si="0"/>
        <v>28131625</v>
      </c>
      <c r="N7" s="677"/>
      <c r="O7" s="371"/>
      <c r="P7" s="199" t="e">
        <f>+#REF!+#REF!+F7+G7</f>
        <v>#REF!</v>
      </c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  <c r="BN7" s="371"/>
      <c r="BO7" s="371"/>
      <c r="BP7" s="371"/>
      <c r="BQ7" s="371"/>
      <c r="BR7" s="371"/>
      <c r="BS7" s="371"/>
      <c r="BT7" s="371"/>
      <c r="BU7" s="371"/>
      <c r="BV7" s="371"/>
      <c r="BW7" s="371"/>
      <c r="BX7" s="371"/>
    </row>
    <row r="8" spans="1:76" ht="14.25" customHeight="1">
      <c r="A8" s="963"/>
      <c r="B8" s="2400" t="s">
        <v>77</v>
      </c>
      <c r="C8" s="2401"/>
      <c r="D8" s="243">
        <v>0</v>
      </c>
      <c r="E8" s="243">
        <v>0</v>
      </c>
      <c r="F8" s="243">
        <v>0</v>
      </c>
      <c r="G8" s="243">
        <v>0</v>
      </c>
      <c r="H8" s="243">
        <v>0</v>
      </c>
      <c r="I8" s="243">
        <v>0</v>
      </c>
      <c r="J8" s="243">
        <v>0</v>
      </c>
      <c r="K8" s="243">
        <v>0</v>
      </c>
      <c r="L8" s="243">
        <v>0</v>
      </c>
      <c r="M8" s="18">
        <v>0</v>
      </c>
      <c r="N8" s="677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1"/>
      <c r="BI8" s="371"/>
      <c r="BJ8" s="371"/>
      <c r="BK8" s="371"/>
      <c r="BL8" s="371"/>
      <c r="BM8" s="371"/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</row>
    <row r="9" spans="1:76" ht="14.25" customHeight="1" thickBot="1">
      <c r="A9" s="963"/>
      <c r="B9" s="2402" t="s">
        <v>9</v>
      </c>
      <c r="C9" s="2403"/>
      <c r="D9" s="253">
        <f>+D24+D34+D45+D57+D70+D82+D94+D106</f>
        <v>29987978</v>
      </c>
      <c r="E9" s="253">
        <f t="shared" ref="E9:L9" si="1">+E24+E34+E45+E57+E70+E82+E94+E106</f>
        <v>353841</v>
      </c>
      <c r="F9" s="253">
        <f t="shared" si="1"/>
        <v>3292386</v>
      </c>
      <c r="G9" s="253">
        <f t="shared" si="1"/>
        <v>6045126</v>
      </c>
      <c r="H9" s="253">
        <f t="shared" si="1"/>
        <v>9600000</v>
      </c>
      <c r="I9" s="253">
        <f t="shared" si="1"/>
        <v>5657500</v>
      </c>
      <c r="J9" s="253">
        <f t="shared" si="1"/>
        <v>3566880</v>
      </c>
      <c r="K9" s="253">
        <f t="shared" si="1"/>
        <v>1472245</v>
      </c>
      <c r="L9" s="253">
        <f t="shared" si="1"/>
        <v>0</v>
      </c>
      <c r="M9" s="170">
        <f>+M24+M34+M45+M57+M70+M82</f>
        <v>28131625</v>
      </c>
      <c r="N9" s="677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1"/>
      <c r="AG9" s="371"/>
      <c r="AH9" s="371"/>
      <c r="AI9" s="371"/>
      <c r="AJ9" s="371"/>
      <c r="AK9" s="371"/>
      <c r="AL9" s="371"/>
      <c r="AM9" s="371"/>
      <c r="AN9" s="371"/>
      <c r="AO9" s="371"/>
      <c r="AP9" s="371"/>
      <c r="AQ9" s="371"/>
      <c r="AR9" s="371"/>
      <c r="AS9" s="371"/>
      <c r="AT9" s="371"/>
      <c r="AU9" s="371"/>
      <c r="AV9" s="371"/>
      <c r="AW9" s="371"/>
      <c r="AX9" s="371"/>
      <c r="AY9" s="371"/>
      <c r="AZ9" s="371"/>
      <c r="BA9" s="371"/>
      <c r="BB9" s="371"/>
      <c r="BC9" s="371"/>
      <c r="BD9" s="371"/>
      <c r="BE9" s="371"/>
      <c r="BF9" s="371"/>
      <c r="BG9" s="371"/>
      <c r="BH9" s="371"/>
      <c r="BI9" s="371"/>
      <c r="BJ9" s="371"/>
      <c r="BK9" s="371"/>
      <c r="BL9" s="371"/>
      <c r="BM9" s="371"/>
      <c r="BN9" s="371"/>
      <c r="BO9" s="371"/>
      <c r="BP9" s="371"/>
      <c r="BQ9" s="371"/>
      <c r="BR9" s="371"/>
      <c r="BS9" s="371"/>
      <c r="BT9" s="371"/>
      <c r="BU9" s="371"/>
      <c r="BV9" s="371"/>
      <c r="BW9" s="371"/>
      <c r="BX9" s="371"/>
    </row>
    <row r="10" spans="1:76" s="724" customFormat="1" ht="12">
      <c r="A10" s="963"/>
      <c r="B10" s="2404" t="s">
        <v>10</v>
      </c>
      <c r="C10" s="2404"/>
      <c r="D10" s="2316">
        <f>+D11+D14</f>
        <v>92928983</v>
      </c>
      <c r="E10" s="2316">
        <f t="shared" ref="E10" si="2">+E11+E14</f>
        <v>353841</v>
      </c>
      <c r="F10" s="2316">
        <f t="shared" ref="F10:L10" si="3">+F11+F14</f>
        <v>3314741</v>
      </c>
      <c r="G10" s="2316">
        <f t="shared" si="3"/>
        <v>18028776</v>
      </c>
      <c r="H10" s="2316">
        <f t="shared" si="3"/>
        <v>30000000</v>
      </c>
      <c r="I10" s="2316">
        <f t="shared" si="3"/>
        <v>17600000</v>
      </c>
      <c r="J10" s="2316">
        <f t="shared" si="3"/>
        <v>12066880</v>
      </c>
      <c r="K10" s="2316">
        <f t="shared" si="3"/>
        <v>11564745</v>
      </c>
      <c r="L10" s="2316">
        <f t="shared" si="3"/>
        <v>0</v>
      </c>
      <c r="M10" s="438">
        <f>+M11</f>
        <v>29634137</v>
      </c>
      <c r="N10" s="3577"/>
      <c r="O10" s="371"/>
      <c r="P10" s="199"/>
      <c r="Q10" s="199">
        <f>+D22+D31+D43+D55+D67+D79</f>
        <v>88685466</v>
      </c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  <c r="BM10" s="371"/>
      <c r="BN10" s="371"/>
      <c r="BO10" s="371"/>
      <c r="BP10" s="371"/>
      <c r="BQ10" s="371"/>
      <c r="BR10" s="371"/>
      <c r="BS10" s="371"/>
      <c r="BT10" s="371"/>
      <c r="BU10" s="371"/>
      <c r="BV10" s="371"/>
      <c r="BW10" s="371"/>
      <c r="BX10" s="371"/>
    </row>
    <row r="11" spans="1:76" s="724" customFormat="1" ht="14.1" customHeight="1">
      <c r="A11" s="963"/>
      <c r="B11" s="2405" t="s">
        <v>11</v>
      </c>
      <c r="C11" s="3579" t="s">
        <v>61</v>
      </c>
      <c r="D11" s="2406">
        <f>+D12+D13</f>
        <v>29987978</v>
      </c>
      <c r="E11" s="2406">
        <f t="shared" ref="E11" si="4">+E12+E13</f>
        <v>353841</v>
      </c>
      <c r="F11" s="2406">
        <f t="shared" ref="F11:L11" si="5">+F12+F13</f>
        <v>3292386</v>
      </c>
      <c r="G11" s="2406">
        <f t="shared" si="5"/>
        <v>6045126</v>
      </c>
      <c r="H11" s="2406">
        <f t="shared" si="5"/>
        <v>9600000</v>
      </c>
      <c r="I11" s="2406">
        <f t="shared" si="5"/>
        <v>5657500</v>
      </c>
      <c r="J11" s="2406">
        <f t="shared" si="5"/>
        <v>3566880</v>
      </c>
      <c r="K11" s="2406">
        <f t="shared" si="5"/>
        <v>1472245</v>
      </c>
      <c r="L11" s="2406">
        <f t="shared" si="5"/>
        <v>0</v>
      </c>
      <c r="M11" s="2407">
        <f>+M13</f>
        <v>29634137</v>
      </c>
      <c r="N11" s="3577"/>
      <c r="O11" s="371"/>
      <c r="P11" s="199" t="e">
        <f>+#REF!+#REF!+#REF!+#REF!+#REF!+#REF!+#REF!+#REF!</f>
        <v>#REF!</v>
      </c>
      <c r="Q11" s="199">
        <f>+Q10-D10</f>
        <v>-4243517</v>
      </c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371"/>
      <c r="BF11" s="371"/>
      <c r="BG11" s="371"/>
      <c r="BH11" s="371"/>
      <c r="BI11" s="371"/>
      <c r="BJ11" s="371"/>
      <c r="BK11" s="371"/>
      <c r="BL11" s="371"/>
      <c r="BM11" s="371"/>
      <c r="BN11" s="371"/>
      <c r="BO11" s="371"/>
      <c r="BP11" s="371"/>
      <c r="BQ11" s="371"/>
      <c r="BR11" s="371"/>
      <c r="BS11" s="371"/>
      <c r="BT11" s="371"/>
      <c r="BU11" s="371"/>
      <c r="BV11" s="371"/>
      <c r="BW11" s="371"/>
      <c r="BX11" s="371"/>
    </row>
    <row r="12" spans="1:76" s="724" customFormat="1" ht="12" hidden="1">
      <c r="A12" s="963"/>
      <c r="B12" s="2408" t="s">
        <v>32</v>
      </c>
      <c r="C12" s="3579"/>
      <c r="D12" s="2409">
        <f>+D69+D33+D46+D58+D81</f>
        <v>0</v>
      </c>
      <c r="E12" s="2409">
        <f t="shared" ref="E12" si="6">+E69+E33+E46+E58</f>
        <v>0</v>
      </c>
      <c r="F12" s="2409">
        <f t="shared" ref="F12:L12" si="7">+F69+F33+F46+F58</f>
        <v>0</v>
      </c>
      <c r="G12" s="2409">
        <f t="shared" si="7"/>
        <v>0</v>
      </c>
      <c r="H12" s="2409">
        <f t="shared" si="7"/>
        <v>0</v>
      </c>
      <c r="I12" s="2409">
        <f t="shared" si="7"/>
        <v>0</v>
      </c>
      <c r="J12" s="2409">
        <f t="shared" si="7"/>
        <v>0</v>
      </c>
      <c r="K12" s="2409">
        <f t="shared" si="7"/>
        <v>0</v>
      </c>
      <c r="L12" s="2409">
        <f t="shared" si="7"/>
        <v>0</v>
      </c>
      <c r="M12" s="2410" t="s">
        <v>61</v>
      </c>
      <c r="N12" s="3577"/>
      <c r="O12" s="371"/>
      <c r="P12" s="199" t="e">
        <f>+#REF!+#REF!+#REF!+#REF!+#REF!+#REF!+#REF!+#REF!</f>
        <v>#REF!</v>
      </c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1"/>
      <c r="BN12" s="371"/>
      <c r="BO12" s="371"/>
      <c r="BP12" s="371"/>
      <c r="BQ12" s="371"/>
      <c r="BR12" s="371"/>
      <c r="BS12" s="371"/>
      <c r="BT12" s="371"/>
      <c r="BU12" s="371"/>
      <c r="BV12" s="371"/>
      <c r="BW12" s="371"/>
      <c r="BX12" s="371"/>
    </row>
    <row r="13" spans="1:76" s="724" customFormat="1" ht="12">
      <c r="A13" s="963"/>
      <c r="B13" s="2408" t="s">
        <v>167</v>
      </c>
      <c r="C13" s="3579"/>
      <c r="D13" s="2411">
        <f>+D24+D34+D45+D57+D82+D70+D94+D106</f>
        <v>29987978</v>
      </c>
      <c r="E13" s="2411">
        <f t="shared" ref="E13" si="8">+E24+E34+E45+E57+E82+E70+E94+E106</f>
        <v>353841</v>
      </c>
      <c r="F13" s="2411">
        <f t="shared" ref="F13:K13" si="9">+F24+F34+F45+F57+F82+F70+F94+F106</f>
        <v>3292386</v>
      </c>
      <c r="G13" s="2411">
        <f t="shared" si="9"/>
        <v>6045126</v>
      </c>
      <c r="H13" s="2411">
        <f t="shared" si="9"/>
        <v>9600000</v>
      </c>
      <c r="I13" s="2411">
        <f t="shared" si="9"/>
        <v>5657500</v>
      </c>
      <c r="J13" s="2411">
        <f t="shared" si="9"/>
        <v>3566880</v>
      </c>
      <c r="K13" s="2411">
        <f t="shared" si="9"/>
        <v>1472245</v>
      </c>
      <c r="L13" s="2411">
        <f t="shared" ref="L13" si="10">+L24+L34+L45+L57+L82+L70+L94</f>
        <v>0</v>
      </c>
      <c r="M13" s="678">
        <f>SUM(F13:L13)</f>
        <v>29634137</v>
      </c>
      <c r="N13" s="3577"/>
      <c r="O13" s="371"/>
      <c r="P13" s="199" t="e">
        <f>+#REF!+#REF!+#REF!+#REF!+#REF!+#REF!+#REF!+#REF!</f>
        <v>#REF!</v>
      </c>
      <c r="Q13" s="199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1"/>
      <c r="BP13" s="371"/>
      <c r="BQ13" s="371"/>
      <c r="BR13" s="371"/>
      <c r="BS13" s="371"/>
      <c r="BT13" s="371"/>
      <c r="BU13" s="371"/>
      <c r="BV13" s="371"/>
      <c r="BW13" s="371"/>
      <c r="BX13" s="371"/>
    </row>
    <row r="14" spans="1:76" s="724" customFormat="1" ht="12">
      <c r="A14" s="963"/>
      <c r="B14" s="2405" t="s">
        <v>18</v>
      </c>
      <c r="C14" s="3579"/>
      <c r="D14" s="2406">
        <f>+D15</f>
        <v>62941005</v>
      </c>
      <c r="E14" s="2406">
        <f t="shared" ref="E14:L14" si="11">+E15</f>
        <v>0</v>
      </c>
      <c r="F14" s="2406">
        <f t="shared" si="11"/>
        <v>22355</v>
      </c>
      <c r="G14" s="2406">
        <f t="shared" si="11"/>
        <v>11983650</v>
      </c>
      <c r="H14" s="2406">
        <f t="shared" si="11"/>
        <v>20400000</v>
      </c>
      <c r="I14" s="2406">
        <f t="shared" si="11"/>
        <v>11942500</v>
      </c>
      <c r="J14" s="2406">
        <f t="shared" si="11"/>
        <v>8500000</v>
      </c>
      <c r="K14" s="2406">
        <f t="shared" si="11"/>
        <v>10092500</v>
      </c>
      <c r="L14" s="2406">
        <f t="shared" si="11"/>
        <v>0</v>
      </c>
      <c r="M14" s="2412" t="str">
        <f>+M15</f>
        <v>x</v>
      </c>
      <c r="N14" s="3577"/>
      <c r="O14" s="371"/>
      <c r="P14" s="199" t="e">
        <f>+#REF!+#REF!+#REF!+#REF!+#REF!+#REF!+#REF!+#REF!</f>
        <v>#REF!</v>
      </c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  <c r="AL14" s="371"/>
      <c r="AM14" s="371"/>
      <c r="AN14" s="371"/>
      <c r="AO14" s="371"/>
      <c r="AP14" s="371"/>
      <c r="AQ14" s="371"/>
      <c r="AR14" s="371"/>
      <c r="AS14" s="371"/>
      <c r="AT14" s="371"/>
      <c r="AU14" s="371"/>
      <c r="AV14" s="371"/>
      <c r="AW14" s="371"/>
      <c r="AX14" s="371"/>
      <c r="AY14" s="371"/>
      <c r="AZ14" s="371"/>
      <c r="BA14" s="371"/>
      <c r="BB14" s="371"/>
      <c r="BC14" s="371"/>
      <c r="BD14" s="371"/>
      <c r="BE14" s="371"/>
      <c r="BF14" s="371"/>
      <c r="BG14" s="371"/>
      <c r="BH14" s="371"/>
      <c r="BI14" s="371"/>
      <c r="BJ14" s="371"/>
      <c r="BK14" s="371"/>
      <c r="BL14" s="371"/>
      <c r="BM14" s="371"/>
      <c r="BN14" s="371"/>
      <c r="BO14" s="371"/>
      <c r="BP14" s="371"/>
      <c r="BQ14" s="371"/>
      <c r="BR14" s="371"/>
      <c r="BS14" s="371"/>
      <c r="BT14" s="371"/>
      <c r="BU14" s="371"/>
      <c r="BV14" s="371"/>
      <c r="BW14" s="371"/>
      <c r="BX14" s="371"/>
    </row>
    <row r="15" spans="1:76" s="724" customFormat="1" ht="12">
      <c r="A15" s="963"/>
      <c r="B15" s="2413" t="s">
        <v>35</v>
      </c>
      <c r="C15" s="3579"/>
      <c r="D15" s="2411">
        <f>D26+D36+D48+D72+D84+D60+D96</f>
        <v>62941005</v>
      </c>
      <c r="E15" s="2411">
        <f t="shared" ref="E15" si="12">E26+E36+E48+E72+E84+E60+E96</f>
        <v>0</v>
      </c>
      <c r="F15" s="2411">
        <f t="shared" ref="F15:L15" si="13">F26+F36+F48+F72+F84+F60+F96</f>
        <v>22355</v>
      </c>
      <c r="G15" s="2411">
        <f t="shared" si="13"/>
        <v>11983650</v>
      </c>
      <c r="H15" s="2411">
        <f t="shared" si="13"/>
        <v>20400000</v>
      </c>
      <c r="I15" s="2411">
        <f t="shared" si="13"/>
        <v>11942500</v>
      </c>
      <c r="J15" s="2411">
        <f t="shared" si="13"/>
        <v>8500000</v>
      </c>
      <c r="K15" s="2411">
        <f t="shared" si="13"/>
        <v>10092500</v>
      </c>
      <c r="L15" s="2411">
        <f t="shared" si="13"/>
        <v>0</v>
      </c>
      <c r="M15" s="679" t="s">
        <v>61</v>
      </c>
      <c r="N15" s="3577"/>
      <c r="O15" s="371"/>
      <c r="P15" s="199" t="e">
        <f>+#REF!+#REF!+#REF!+#REF!+#REF!+#REF!+#REF!+#REF!</f>
        <v>#REF!</v>
      </c>
      <c r="Q15" s="371"/>
      <c r="R15" s="371"/>
      <c r="S15" s="371"/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  <c r="AL15" s="371"/>
      <c r="AM15" s="371"/>
      <c r="AN15" s="371"/>
      <c r="AO15" s="371"/>
      <c r="AP15" s="371"/>
      <c r="AQ15" s="371"/>
      <c r="AR15" s="371"/>
      <c r="AS15" s="371"/>
      <c r="AT15" s="371"/>
      <c r="AU15" s="371"/>
      <c r="AV15" s="371"/>
      <c r="AW15" s="371"/>
      <c r="AX15" s="371"/>
      <c r="AY15" s="371"/>
      <c r="AZ15" s="371"/>
      <c r="BA15" s="371"/>
      <c r="BB15" s="371"/>
      <c r="BC15" s="371"/>
      <c r="BD15" s="371"/>
      <c r="BE15" s="371"/>
      <c r="BF15" s="371"/>
      <c r="BG15" s="371"/>
      <c r="BH15" s="371"/>
      <c r="BI15" s="371"/>
      <c r="BJ15" s="371"/>
      <c r="BK15" s="371"/>
      <c r="BL15" s="371"/>
      <c r="BM15" s="371"/>
      <c r="BN15" s="371"/>
      <c r="BO15" s="371"/>
      <c r="BP15" s="371"/>
      <c r="BQ15" s="371"/>
      <c r="BR15" s="371"/>
      <c r="BS15" s="371"/>
      <c r="BT15" s="371"/>
      <c r="BU15" s="371"/>
      <c r="BV15" s="371"/>
      <c r="BW15" s="371"/>
      <c r="BX15" s="371"/>
    </row>
    <row r="16" spans="1:76" s="724" customFormat="1" ht="12">
      <c r="A16" s="963"/>
      <c r="B16" s="642" t="s">
        <v>22</v>
      </c>
      <c r="C16" s="642"/>
      <c r="D16" s="680">
        <f>+D17+D19</f>
        <v>78797391</v>
      </c>
      <c r="E16" s="680">
        <f t="shared" ref="E16" si="14">+E17+E19</f>
        <v>0</v>
      </c>
      <c r="F16" s="680">
        <f t="shared" ref="F16:L16" si="15">+F17+F19</f>
        <v>372355</v>
      </c>
      <c r="G16" s="680">
        <f t="shared" si="15"/>
        <v>13839307</v>
      </c>
      <c r="H16" s="680">
        <f t="shared" si="15"/>
        <v>26400000</v>
      </c>
      <c r="I16" s="680">
        <f t="shared" si="15"/>
        <v>15942500</v>
      </c>
      <c r="J16" s="680">
        <f t="shared" si="15"/>
        <v>10500000</v>
      </c>
      <c r="K16" s="680">
        <f t="shared" si="15"/>
        <v>11743229</v>
      </c>
      <c r="L16" s="680">
        <f t="shared" si="15"/>
        <v>0</v>
      </c>
      <c r="M16" s="3585" t="s">
        <v>61</v>
      </c>
      <c r="N16" s="3577"/>
      <c r="O16" s="371"/>
      <c r="P16" s="199" t="e">
        <f>+#REF!+#REF!+#REF!+#REF!+#REF!+#REF!+#REF!+#REF!</f>
        <v>#REF!</v>
      </c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1"/>
      <c r="BP16" s="371"/>
      <c r="BQ16" s="371"/>
      <c r="BR16" s="371"/>
      <c r="BS16" s="371"/>
      <c r="BT16" s="371"/>
      <c r="BU16" s="371"/>
      <c r="BV16" s="371"/>
      <c r="BW16" s="371"/>
      <c r="BX16" s="371"/>
    </row>
    <row r="17" spans="1:76" s="724" customFormat="1" ht="12">
      <c r="A17" s="963"/>
      <c r="B17" s="2405" t="s">
        <v>24</v>
      </c>
      <c r="C17" s="3580" t="s">
        <v>61</v>
      </c>
      <c r="D17" s="2406">
        <f>+D18</f>
        <v>15856386</v>
      </c>
      <c r="E17" s="2406">
        <f t="shared" ref="E17:L17" si="16">+E18</f>
        <v>0</v>
      </c>
      <c r="F17" s="2406">
        <f t="shared" si="16"/>
        <v>350000</v>
      </c>
      <c r="G17" s="2406">
        <f t="shared" si="16"/>
        <v>1855657</v>
      </c>
      <c r="H17" s="2406">
        <f t="shared" si="16"/>
        <v>6000000</v>
      </c>
      <c r="I17" s="2406">
        <f t="shared" si="16"/>
        <v>4000000</v>
      </c>
      <c r="J17" s="2406">
        <f t="shared" si="16"/>
        <v>2000000</v>
      </c>
      <c r="K17" s="2406">
        <f t="shared" si="16"/>
        <v>1650729</v>
      </c>
      <c r="L17" s="2406">
        <f t="shared" si="16"/>
        <v>0</v>
      </c>
      <c r="M17" s="3586"/>
      <c r="N17" s="3577"/>
      <c r="O17" s="371"/>
      <c r="P17" s="199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371"/>
      <c r="BP17" s="371"/>
      <c r="BQ17" s="371"/>
      <c r="BR17" s="371"/>
      <c r="BS17" s="371"/>
      <c r="BT17" s="371"/>
      <c r="BU17" s="371"/>
      <c r="BV17" s="371"/>
      <c r="BW17" s="371"/>
      <c r="BX17" s="371"/>
    </row>
    <row r="18" spans="1:76" s="724" customFormat="1" ht="12">
      <c r="A18" s="963"/>
      <c r="B18" s="2413" t="s">
        <v>144</v>
      </c>
      <c r="C18" s="3581"/>
      <c r="D18" s="2411">
        <f>+D51+D87+D39+D63+D75+D29</f>
        <v>15856386</v>
      </c>
      <c r="E18" s="2411">
        <f t="shared" ref="E18" si="17">+E51+E87+E39+E63+E75+E29</f>
        <v>0</v>
      </c>
      <c r="F18" s="2411">
        <f t="shared" ref="F18:L18" si="18">+F51+F87+F39+F63+F75+F29</f>
        <v>350000</v>
      </c>
      <c r="G18" s="2411">
        <f t="shared" si="18"/>
        <v>1855657</v>
      </c>
      <c r="H18" s="2411">
        <f t="shared" si="18"/>
        <v>6000000</v>
      </c>
      <c r="I18" s="2411">
        <f t="shared" si="18"/>
        <v>4000000</v>
      </c>
      <c r="J18" s="2411">
        <f t="shared" si="18"/>
        <v>2000000</v>
      </c>
      <c r="K18" s="2411">
        <f t="shared" si="18"/>
        <v>1650729</v>
      </c>
      <c r="L18" s="2411">
        <f t="shared" si="18"/>
        <v>0</v>
      </c>
      <c r="M18" s="3586"/>
      <c r="N18" s="3577"/>
      <c r="O18" s="371"/>
      <c r="P18" s="199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1"/>
      <c r="AP18" s="371"/>
      <c r="AQ18" s="371"/>
      <c r="AR18" s="371"/>
      <c r="AS18" s="371"/>
      <c r="AT18" s="371"/>
      <c r="AU18" s="371"/>
      <c r="AV18" s="371"/>
      <c r="AW18" s="371"/>
      <c r="AX18" s="371"/>
      <c r="AY18" s="371"/>
      <c r="AZ18" s="371"/>
      <c r="BA18" s="371"/>
      <c r="BB18" s="371"/>
      <c r="BC18" s="371"/>
      <c r="BD18" s="371"/>
      <c r="BE18" s="371"/>
      <c r="BF18" s="371"/>
      <c r="BG18" s="371"/>
      <c r="BH18" s="371"/>
      <c r="BI18" s="371"/>
      <c r="BJ18" s="371"/>
      <c r="BK18" s="371"/>
      <c r="BL18" s="371"/>
      <c r="BM18" s="371"/>
      <c r="BN18" s="371"/>
      <c r="BO18" s="371"/>
      <c r="BP18" s="371"/>
      <c r="BQ18" s="371"/>
      <c r="BR18" s="371"/>
      <c r="BS18" s="371"/>
      <c r="BT18" s="371"/>
      <c r="BU18" s="371"/>
      <c r="BV18" s="371"/>
      <c r="BW18" s="371"/>
      <c r="BX18" s="371"/>
    </row>
    <row r="19" spans="1:76" s="724" customFormat="1" ht="12">
      <c r="A19" s="963"/>
      <c r="B19" s="2414" t="s">
        <v>18</v>
      </c>
      <c r="C19" s="3581"/>
      <c r="D19" s="2415">
        <f>+D20</f>
        <v>62941005</v>
      </c>
      <c r="E19" s="2415">
        <f t="shared" ref="E19:L19" si="19">+E20</f>
        <v>0</v>
      </c>
      <c r="F19" s="2415">
        <f t="shared" si="19"/>
        <v>22355</v>
      </c>
      <c r="G19" s="2415">
        <f t="shared" si="19"/>
        <v>11983650</v>
      </c>
      <c r="H19" s="2415">
        <f t="shared" si="19"/>
        <v>20400000</v>
      </c>
      <c r="I19" s="2415">
        <f t="shared" si="19"/>
        <v>11942500</v>
      </c>
      <c r="J19" s="2415">
        <f t="shared" si="19"/>
        <v>8500000</v>
      </c>
      <c r="K19" s="2415">
        <f t="shared" si="19"/>
        <v>10092500</v>
      </c>
      <c r="L19" s="2415">
        <f t="shared" si="19"/>
        <v>0</v>
      </c>
      <c r="M19" s="3586"/>
      <c r="N19" s="3577"/>
      <c r="O19" s="371"/>
      <c r="P19" s="199" t="e">
        <f>+#REF!+#REF!+#REF!+#REF!+#REF!+#REF!+#REF!+#REF!</f>
        <v>#REF!</v>
      </c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371"/>
      <c r="BP19" s="371"/>
      <c r="BQ19" s="371"/>
      <c r="BR19" s="371"/>
      <c r="BS19" s="371"/>
      <c r="BT19" s="371"/>
      <c r="BU19" s="371"/>
      <c r="BV19" s="371"/>
      <c r="BW19" s="371"/>
      <c r="BX19" s="371"/>
    </row>
    <row r="20" spans="1:76" s="724" customFormat="1" ht="14.1" customHeight="1" thickBot="1">
      <c r="A20" s="964"/>
      <c r="B20" s="2416" t="s">
        <v>35</v>
      </c>
      <c r="C20" s="3582"/>
      <c r="D20" s="2417">
        <f>+D41+D53+D89+D77+D65+D101</f>
        <v>62941005</v>
      </c>
      <c r="E20" s="2417">
        <f t="shared" ref="E20" si="20">+E41+E53+E89+E77+E65+E101</f>
        <v>0</v>
      </c>
      <c r="F20" s="2417">
        <f t="shared" ref="F20:L20" si="21">+F41+F53+F89+F77+F65+F101</f>
        <v>22355</v>
      </c>
      <c r="G20" s="2417">
        <f t="shared" si="21"/>
        <v>11983650</v>
      </c>
      <c r="H20" s="2417">
        <f t="shared" si="21"/>
        <v>20400000</v>
      </c>
      <c r="I20" s="2417">
        <f t="shared" si="21"/>
        <v>11942500</v>
      </c>
      <c r="J20" s="2417">
        <f t="shared" si="21"/>
        <v>8500000</v>
      </c>
      <c r="K20" s="2417">
        <f t="shared" si="21"/>
        <v>10092500</v>
      </c>
      <c r="L20" s="2417">
        <f t="shared" si="21"/>
        <v>0</v>
      </c>
      <c r="M20" s="3587"/>
      <c r="N20" s="3578"/>
      <c r="O20" s="371"/>
      <c r="P20" s="199" t="e">
        <f>+#REF!+#REF!+#REF!+#REF!+#REF!+#REF!+#REF!+#REF!</f>
        <v>#REF!</v>
      </c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1"/>
      <c r="BG20" s="371"/>
      <c r="BH20" s="371"/>
      <c r="BI20" s="371"/>
      <c r="BJ20" s="371"/>
      <c r="BK20" s="371"/>
      <c r="BL20" s="371"/>
      <c r="BM20" s="371"/>
      <c r="BN20" s="371"/>
      <c r="BO20" s="371"/>
      <c r="BP20" s="371"/>
      <c r="BQ20" s="371"/>
      <c r="BR20" s="371"/>
      <c r="BS20" s="371"/>
      <c r="BT20" s="371"/>
      <c r="BU20" s="371"/>
      <c r="BV20" s="371"/>
      <c r="BW20" s="371"/>
      <c r="BX20" s="371"/>
    </row>
    <row r="21" spans="1:76" s="371" customFormat="1" ht="26.25" customHeight="1">
      <c r="A21" s="3544" t="s">
        <v>63</v>
      </c>
      <c r="B21" s="2418" t="s">
        <v>402</v>
      </c>
      <c r="C21" s="2419" t="s">
        <v>81</v>
      </c>
      <c r="D21" s="2420"/>
      <c r="E21" s="681"/>
      <c r="F21" s="681"/>
      <c r="G21" s="681"/>
      <c r="H21" s="2421"/>
      <c r="I21" s="2421"/>
      <c r="J21" s="2421"/>
      <c r="K21" s="2421"/>
      <c r="L21" s="2421"/>
      <c r="M21" s="682"/>
      <c r="N21" s="3547" t="s">
        <v>393</v>
      </c>
    </row>
    <row r="22" spans="1:76" s="371" customFormat="1" ht="12">
      <c r="A22" s="3545"/>
      <c r="B22" s="642" t="s">
        <v>10</v>
      </c>
      <c r="C22" s="642"/>
      <c r="D22" s="680">
        <f t="shared" ref="D22" si="22">+D23+D25</f>
        <v>1805000</v>
      </c>
      <c r="E22" s="680">
        <f t="shared" ref="E22" si="23">+E23+E25</f>
        <v>0</v>
      </c>
      <c r="F22" s="680">
        <f t="shared" ref="F22:M22" si="24">+F23</f>
        <v>242386</v>
      </c>
      <c r="G22" s="680">
        <f t="shared" si="24"/>
        <v>1562614</v>
      </c>
      <c r="H22" s="680">
        <f t="shared" si="24"/>
        <v>0</v>
      </c>
      <c r="I22" s="680">
        <f t="shared" si="24"/>
        <v>0</v>
      </c>
      <c r="J22" s="680"/>
      <c r="K22" s="680"/>
      <c r="L22" s="680"/>
      <c r="M22" s="683">
        <f t="shared" si="24"/>
        <v>1805000</v>
      </c>
      <c r="N22" s="3443"/>
    </row>
    <row r="23" spans="1:76" s="371" customFormat="1" ht="12">
      <c r="A23" s="3545"/>
      <c r="B23" s="684" t="s">
        <v>24</v>
      </c>
      <c r="C23" s="3557" t="s">
        <v>392</v>
      </c>
      <c r="D23" s="632">
        <f>D24</f>
        <v>1805000</v>
      </c>
      <c r="E23" s="632">
        <f t="shared" ref="E23:I23" si="25">E24</f>
        <v>0</v>
      </c>
      <c r="F23" s="632">
        <f t="shared" si="25"/>
        <v>242386</v>
      </c>
      <c r="G23" s="632">
        <f t="shared" si="25"/>
        <v>1562614</v>
      </c>
      <c r="H23" s="632">
        <f t="shared" si="25"/>
        <v>0</v>
      </c>
      <c r="I23" s="632">
        <f t="shared" si="25"/>
        <v>0</v>
      </c>
      <c r="J23" s="632"/>
      <c r="K23" s="632"/>
      <c r="L23" s="632"/>
      <c r="M23" s="685">
        <f>+M24</f>
        <v>1805000</v>
      </c>
      <c r="N23" s="3443"/>
    </row>
    <row r="24" spans="1:76" s="371" customFormat="1" ht="12.75" customHeight="1">
      <c r="A24" s="3545"/>
      <c r="B24" s="720" t="s">
        <v>126</v>
      </c>
      <c r="C24" s="3549"/>
      <c r="D24" s="2205">
        <f>E24+F24+G24+H24+I24+J24+K24+L24</f>
        <v>1805000</v>
      </c>
      <c r="E24" s="628">
        <v>0</v>
      </c>
      <c r="F24" s="628">
        <f>355000-112614</f>
        <v>242386</v>
      </c>
      <c r="G24" s="628">
        <f>1450000+112614</f>
        <v>1562614</v>
      </c>
      <c r="H24" s="628">
        <v>0</v>
      </c>
      <c r="I24" s="628">
        <v>0</v>
      </c>
      <c r="J24" s="628"/>
      <c r="K24" s="628"/>
      <c r="L24" s="628"/>
      <c r="M24" s="678">
        <f>SUM(F24:L24)</f>
        <v>1805000</v>
      </c>
      <c r="N24" s="3443"/>
    </row>
    <row r="25" spans="1:76" s="371" customFormat="1" ht="12.75" hidden="1" customHeight="1">
      <c r="A25" s="3545"/>
      <c r="B25" s="687" t="s">
        <v>18</v>
      </c>
      <c r="C25" s="3549"/>
      <c r="D25" s="688">
        <f>+D26</f>
        <v>0</v>
      </c>
      <c r="E25" s="688"/>
      <c r="F25" s="688"/>
      <c r="G25" s="688"/>
      <c r="H25" s="688"/>
      <c r="I25" s="688"/>
      <c r="J25" s="688"/>
      <c r="K25" s="688"/>
      <c r="L25" s="688"/>
      <c r="M25" s="2422" t="s">
        <v>61</v>
      </c>
      <c r="N25" s="3443"/>
    </row>
    <row r="26" spans="1:76" s="371" customFormat="1" ht="13.5" hidden="1" customHeight="1">
      <c r="A26" s="3545"/>
      <c r="B26" s="2423" t="s">
        <v>35</v>
      </c>
      <c r="C26" s="3549"/>
      <c r="D26" s="2205">
        <f>E26+F26+G26+H26+I26+J26+K26+L26</f>
        <v>0</v>
      </c>
      <c r="E26" s="628"/>
      <c r="F26" s="628"/>
      <c r="G26" s="628"/>
      <c r="H26" s="628"/>
      <c r="I26" s="628"/>
      <c r="J26" s="628"/>
      <c r="K26" s="628"/>
      <c r="L26" s="628"/>
      <c r="M26" s="708" t="s">
        <v>61</v>
      </c>
      <c r="N26" s="3443"/>
    </row>
    <row r="27" spans="1:76" s="690" customFormat="1" ht="12">
      <c r="A27" s="3545"/>
      <c r="B27" s="2404" t="s">
        <v>22</v>
      </c>
      <c r="C27" s="3549"/>
      <c r="D27" s="2424">
        <f>D28</f>
        <v>55657</v>
      </c>
      <c r="E27" s="2424"/>
      <c r="F27" s="2425"/>
      <c r="G27" s="2425">
        <f>G28</f>
        <v>55657</v>
      </c>
      <c r="H27" s="2425"/>
      <c r="I27" s="2425"/>
      <c r="J27" s="2425"/>
      <c r="K27" s="2425"/>
      <c r="L27" s="2425"/>
      <c r="M27" s="3570"/>
      <c r="N27" s="3443"/>
    </row>
    <row r="28" spans="1:76" s="371" customFormat="1" ht="12.75">
      <c r="A28" s="3545"/>
      <c r="B28" s="698" t="s">
        <v>24</v>
      </c>
      <c r="C28" s="3549"/>
      <c r="D28" s="632">
        <f>+D29</f>
        <v>55657</v>
      </c>
      <c r="E28" s="632"/>
      <c r="F28" s="2426"/>
      <c r="G28" s="632">
        <f>G29</f>
        <v>55657</v>
      </c>
      <c r="H28" s="2426"/>
      <c r="I28" s="2426"/>
      <c r="J28" s="2426"/>
      <c r="K28" s="2426"/>
      <c r="L28" s="2426"/>
      <c r="M28" s="3571"/>
      <c r="N28" s="3443"/>
    </row>
    <row r="29" spans="1:76" s="371" customFormat="1" ht="13.5" thickBot="1">
      <c r="A29" s="3546"/>
      <c r="B29" s="696" t="s">
        <v>144</v>
      </c>
      <c r="C29" s="3573"/>
      <c r="D29" s="280">
        <f>E29+F29+G29+H29+I29+J29+K29+L29</f>
        <v>55657</v>
      </c>
      <c r="E29" s="686">
        <v>0</v>
      </c>
      <c r="F29" s="2427"/>
      <c r="G29" s="686">
        <v>55657</v>
      </c>
      <c r="H29" s="2427"/>
      <c r="I29" s="2427"/>
      <c r="J29" s="2427"/>
      <c r="K29" s="2427"/>
      <c r="L29" s="2427"/>
      <c r="M29" s="3572"/>
      <c r="N29" s="3569"/>
    </row>
    <row r="30" spans="1:76" s="371" customFormat="1" ht="27.75" customHeight="1">
      <c r="A30" s="3544" t="s">
        <v>64</v>
      </c>
      <c r="B30" s="691" t="s">
        <v>391</v>
      </c>
      <c r="C30" s="692" t="s">
        <v>81</v>
      </c>
      <c r="D30" s="627"/>
      <c r="E30" s="681"/>
      <c r="F30" s="681"/>
      <c r="G30" s="681"/>
      <c r="H30" s="681"/>
      <c r="I30" s="681"/>
      <c r="J30" s="681"/>
      <c r="K30" s="681"/>
      <c r="L30" s="681"/>
      <c r="M30" s="682"/>
      <c r="N30" s="3547" t="s">
        <v>168</v>
      </c>
    </row>
    <row r="31" spans="1:76" s="371" customFormat="1" ht="11.25" customHeight="1">
      <c r="A31" s="3545"/>
      <c r="B31" s="642" t="s">
        <v>10</v>
      </c>
      <c r="C31" s="693"/>
      <c r="D31" s="680">
        <f>+D32+D35</f>
        <v>86880466</v>
      </c>
      <c r="E31" s="680">
        <f t="shared" ref="E31" si="26">+E32+E35</f>
        <v>353841</v>
      </c>
      <c r="F31" s="680">
        <f t="shared" ref="F31:G31" si="27">+F32+F35</f>
        <v>3000000</v>
      </c>
      <c r="G31" s="680">
        <f t="shared" si="27"/>
        <v>12295000</v>
      </c>
      <c r="H31" s="680">
        <f>+H32+H35</f>
        <v>30000000</v>
      </c>
      <c r="I31" s="680">
        <f>+I32+I35</f>
        <v>17600000</v>
      </c>
      <c r="J31" s="680">
        <f t="shared" ref="J31:K31" si="28">+J32+J35</f>
        <v>12066880</v>
      </c>
      <c r="K31" s="680">
        <f t="shared" si="28"/>
        <v>11564745</v>
      </c>
      <c r="L31" s="680"/>
      <c r="M31" s="683">
        <f>+M32</f>
        <v>26326625</v>
      </c>
      <c r="N31" s="3443"/>
    </row>
    <row r="32" spans="1:76" s="371" customFormat="1" ht="12">
      <c r="A32" s="3545"/>
      <c r="B32" s="1892" t="s">
        <v>24</v>
      </c>
      <c r="C32" s="3557" t="s">
        <v>169</v>
      </c>
      <c r="D32" s="632">
        <f>D34+D33</f>
        <v>26680466</v>
      </c>
      <c r="E32" s="632">
        <f t="shared" ref="E32" si="29">E34+E33</f>
        <v>353841</v>
      </c>
      <c r="F32" s="632">
        <f t="shared" ref="F32:K32" si="30">F34+F33</f>
        <v>3000000</v>
      </c>
      <c r="G32" s="632">
        <f t="shared" si="30"/>
        <v>3030000</v>
      </c>
      <c r="H32" s="632">
        <f t="shared" si="30"/>
        <v>9600000</v>
      </c>
      <c r="I32" s="632">
        <f t="shared" si="30"/>
        <v>5657500</v>
      </c>
      <c r="J32" s="632">
        <f t="shared" si="30"/>
        <v>3566880</v>
      </c>
      <c r="K32" s="632">
        <f t="shared" si="30"/>
        <v>1472245</v>
      </c>
      <c r="L32" s="632"/>
      <c r="M32" s="685">
        <f>+M34</f>
        <v>26326625</v>
      </c>
      <c r="N32" s="3443"/>
    </row>
    <row r="33" spans="1:76" s="371" customFormat="1" ht="12" hidden="1" customHeight="1">
      <c r="A33" s="3545"/>
      <c r="B33" s="650" t="s">
        <v>32</v>
      </c>
      <c r="C33" s="3549"/>
      <c r="D33" s="280">
        <f>E33+F33+G33+H33+I33+J33+K33+L33</f>
        <v>0</v>
      </c>
      <c r="E33" s="628"/>
      <c r="F33" s="694">
        <v>0</v>
      </c>
      <c r="G33" s="694">
        <v>0</v>
      </c>
      <c r="H33" s="694">
        <v>0</v>
      </c>
      <c r="I33" s="694">
        <v>0</v>
      </c>
      <c r="J33" s="965"/>
      <c r="K33" s="965"/>
      <c r="L33" s="965"/>
      <c r="M33" s="695" t="s">
        <v>61</v>
      </c>
      <c r="N33" s="3443"/>
    </row>
    <row r="34" spans="1:76" s="371" customFormat="1" ht="12">
      <c r="A34" s="3545"/>
      <c r="B34" s="696" t="s">
        <v>126</v>
      </c>
      <c r="C34" s="3550"/>
      <c r="D34" s="280">
        <f>E34+F34+G34+H34+I34+J34+K34+L34</f>
        <v>26680466</v>
      </c>
      <c r="E34" s="628">
        <v>353841</v>
      </c>
      <c r="F34" s="631">
        <v>3000000</v>
      </c>
      <c r="G34" s="631">
        <v>3030000</v>
      </c>
      <c r="H34" s="631">
        <v>9600000</v>
      </c>
      <c r="I34" s="631">
        <v>5657500</v>
      </c>
      <c r="J34" s="631">
        <v>3566880</v>
      </c>
      <c r="K34" s="631">
        <f>1467579+4666</f>
        <v>1472245</v>
      </c>
      <c r="L34" s="631"/>
      <c r="M34" s="678">
        <f>SUM(F34:L34)</f>
        <v>26326625</v>
      </c>
      <c r="N34" s="3443"/>
    </row>
    <row r="35" spans="1:76" s="441" customFormat="1" ht="12">
      <c r="A35" s="3545"/>
      <c r="B35" s="1893" t="s">
        <v>18</v>
      </c>
      <c r="C35" s="3558" t="s">
        <v>23</v>
      </c>
      <c r="D35" s="966">
        <f>+D36</f>
        <v>60200000</v>
      </c>
      <c r="E35" s="966">
        <f t="shared" ref="E35:M35" si="31">+E36</f>
        <v>0</v>
      </c>
      <c r="F35" s="966">
        <f t="shared" si="31"/>
        <v>0</v>
      </c>
      <c r="G35" s="966">
        <f t="shared" si="31"/>
        <v>9265000</v>
      </c>
      <c r="H35" s="966">
        <f t="shared" si="31"/>
        <v>20400000</v>
      </c>
      <c r="I35" s="966">
        <f t="shared" si="31"/>
        <v>11942500</v>
      </c>
      <c r="J35" s="966">
        <f t="shared" si="31"/>
        <v>8500000</v>
      </c>
      <c r="K35" s="966">
        <f t="shared" si="31"/>
        <v>10092500</v>
      </c>
      <c r="L35" s="1894"/>
      <c r="M35" s="1895" t="str">
        <f t="shared" si="31"/>
        <v>x</v>
      </c>
      <c r="N35" s="3443"/>
    </row>
    <row r="36" spans="1:76" s="441" customFormat="1" ht="12">
      <c r="A36" s="3545"/>
      <c r="B36" s="696" t="s">
        <v>35</v>
      </c>
      <c r="C36" s="3552"/>
      <c r="D36" s="280">
        <f>E36+F36+G36+H36+I36+J36+K36+L36</f>
        <v>60200000</v>
      </c>
      <c r="E36" s="628">
        <v>0</v>
      </c>
      <c r="F36" s="630">
        <v>0</v>
      </c>
      <c r="G36" s="630">
        <v>9265000</v>
      </c>
      <c r="H36" s="630">
        <v>20400000</v>
      </c>
      <c r="I36" s="630">
        <v>11942500</v>
      </c>
      <c r="J36" s="967">
        <v>8500000</v>
      </c>
      <c r="K36" s="967">
        <v>10092500</v>
      </c>
      <c r="L36" s="967"/>
      <c r="M36" s="1896" t="s">
        <v>61</v>
      </c>
      <c r="N36" s="3443"/>
    </row>
    <row r="37" spans="1:76" s="697" customFormat="1" ht="12">
      <c r="A37" s="3545"/>
      <c r="B37" s="642" t="s">
        <v>22</v>
      </c>
      <c r="C37" s="1897"/>
      <c r="D37" s="633">
        <f>D40+D38</f>
        <v>76000729</v>
      </c>
      <c r="E37" s="633">
        <f t="shared" ref="E37" si="32">E40+E38</f>
        <v>0</v>
      </c>
      <c r="F37" s="633">
        <f t="shared" ref="F37:G37" si="33">F40+F38</f>
        <v>350000</v>
      </c>
      <c r="G37" s="633">
        <f t="shared" si="33"/>
        <v>11065000</v>
      </c>
      <c r="H37" s="633">
        <f>H40+H38</f>
        <v>26400000</v>
      </c>
      <c r="I37" s="633">
        <f>I40+I38</f>
        <v>15942500</v>
      </c>
      <c r="J37" s="633">
        <f t="shared" ref="J37:K37" si="34">J40+J38</f>
        <v>10500000</v>
      </c>
      <c r="K37" s="633">
        <f t="shared" si="34"/>
        <v>11743229</v>
      </c>
      <c r="L37" s="633"/>
      <c r="M37" s="3553" t="s">
        <v>61</v>
      </c>
      <c r="N37" s="3443"/>
    </row>
    <row r="38" spans="1:76" s="697" customFormat="1" ht="12">
      <c r="A38" s="3545"/>
      <c r="B38" s="698" t="s">
        <v>24</v>
      </c>
      <c r="C38" s="3557" t="s">
        <v>169</v>
      </c>
      <c r="D38" s="968">
        <f>+D39</f>
        <v>15800729</v>
      </c>
      <c r="E38" s="968">
        <f t="shared" ref="E38:K38" si="35">+E39</f>
        <v>0</v>
      </c>
      <c r="F38" s="968">
        <f t="shared" si="35"/>
        <v>350000</v>
      </c>
      <c r="G38" s="968">
        <f t="shared" si="35"/>
        <v>1800000</v>
      </c>
      <c r="H38" s="968">
        <f t="shared" si="35"/>
        <v>6000000</v>
      </c>
      <c r="I38" s="968">
        <f t="shared" si="35"/>
        <v>4000000</v>
      </c>
      <c r="J38" s="968">
        <f t="shared" si="35"/>
        <v>2000000</v>
      </c>
      <c r="K38" s="968">
        <f t="shared" si="35"/>
        <v>1650729</v>
      </c>
      <c r="L38" s="968"/>
      <c r="M38" s="3554"/>
      <c r="N38" s="3443"/>
    </row>
    <row r="39" spans="1:76" s="697" customFormat="1" ht="12">
      <c r="A39" s="3545"/>
      <c r="B39" s="696" t="s">
        <v>144</v>
      </c>
      <c r="C39" s="3549"/>
      <c r="D39" s="280">
        <f>E39+F39+G39+H39+I39+J39+K39+L39</f>
        <v>15800729</v>
      </c>
      <c r="E39" s="628">
        <v>0</v>
      </c>
      <c r="F39" s="631">
        <v>350000</v>
      </c>
      <c r="G39" s="631">
        <v>1800000</v>
      </c>
      <c r="H39" s="631">
        <v>6000000</v>
      </c>
      <c r="I39" s="631">
        <v>4000000</v>
      </c>
      <c r="J39" s="631">
        <v>2000000</v>
      </c>
      <c r="K39" s="631">
        <v>1650729</v>
      </c>
      <c r="L39" s="631"/>
      <c r="M39" s="3554"/>
      <c r="N39" s="3443"/>
      <c r="P39" s="699">
        <v>10989251</v>
      </c>
    </row>
    <row r="40" spans="1:76" s="441" customFormat="1" ht="13.5" customHeight="1">
      <c r="A40" s="3545"/>
      <c r="B40" s="1893" t="s">
        <v>18</v>
      </c>
      <c r="C40" s="3558" t="s">
        <v>23</v>
      </c>
      <c r="D40" s="966">
        <f>+D41</f>
        <v>60200000</v>
      </c>
      <c r="E40" s="966">
        <f t="shared" ref="E40:K40" si="36">+E41</f>
        <v>0</v>
      </c>
      <c r="F40" s="966">
        <f t="shared" si="36"/>
        <v>0</v>
      </c>
      <c r="G40" s="966">
        <f t="shared" si="36"/>
        <v>9265000</v>
      </c>
      <c r="H40" s="966">
        <f t="shared" si="36"/>
        <v>20400000</v>
      </c>
      <c r="I40" s="966">
        <f t="shared" si="36"/>
        <v>11942500</v>
      </c>
      <c r="J40" s="966">
        <f t="shared" si="36"/>
        <v>8500000</v>
      </c>
      <c r="K40" s="966">
        <f t="shared" si="36"/>
        <v>10092500</v>
      </c>
      <c r="L40" s="966"/>
      <c r="M40" s="3554"/>
      <c r="N40" s="3443"/>
    </row>
    <row r="41" spans="1:76" s="441" customFormat="1" ht="13.5" customHeight="1" thickBot="1">
      <c r="A41" s="3546"/>
      <c r="B41" s="711" t="s">
        <v>35</v>
      </c>
      <c r="C41" s="3556"/>
      <c r="D41" s="280">
        <f>E41+F41+G41+H41+I41+J41+K41+L41</f>
        <v>60200000</v>
      </c>
      <c r="E41" s="686">
        <v>0</v>
      </c>
      <c r="F41" s="700">
        <v>0</v>
      </c>
      <c r="G41" s="700">
        <v>9265000</v>
      </c>
      <c r="H41" s="700">
        <v>20400000</v>
      </c>
      <c r="I41" s="700">
        <v>11942500</v>
      </c>
      <c r="J41" s="700">
        <v>8500000</v>
      </c>
      <c r="K41" s="700">
        <v>10092500</v>
      </c>
      <c r="L41" s="700"/>
      <c r="M41" s="3555"/>
      <c r="N41" s="3444"/>
    </row>
    <row r="42" spans="1:76" s="371" customFormat="1" ht="27" hidden="1" customHeight="1">
      <c r="A42" s="3544" t="s">
        <v>65</v>
      </c>
      <c r="B42" s="691"/>
      <c r="C42" s="692" t="s">
        <v>81</v>
      </c>
      <c r="D42" s="701"/>
      <c r="E42" s="702"/>
      <c r="F42" s="702"/>
      <c r="G42" s="702"/>
      <c r="H42" s="703"/>
      <c r="I42" s="703"/>
      <c r="J42" s="703"/>
      <c r="K42" s="703"/>
      <c r="L42" s="703"/>
      <c r="M42" s="704"/>
      <c r="N42" s="3547" t="s">
        <v>170</v>
      </c>
      <c r="BX42" s="690"/>
    </row>
    <row r="43" spans="1:76" s="371" customFormat="1" ht="14.25" hidden="1" customHeight="1">
      <c r="A43" s="3545"/>
      <c r="B43" s="642" t="s">
        <v>10</v>
      </c>
      <c r="C43" s="693"/>
      <c r="D43" s="680"/>
      <c r="E43" s="680">
        <v>0</v>
      </c>
      <c r="F43" s="680">
        <f t="shared" ref="F43:I43" si="37">+F44+F47</f>
        <v>0</v>
      </c>
      <c r="G43" s="680">
        <f t="shared" si="37"/>
        <v>0</v>
      </c>
      <c r="H43" s="680">
        <f t="shared" si="37"/>
        <v>0</v>
      </c>
      <c r="I43" s="680">
        <f t="shared" si="37"/>
        <v>0</v>
      </c>
      <c r="J43" s="680"/>
      <c r="K43" s="680"/>
      <c r="L43" s="680"/>
      <c r="M43" s="683">
        <f>+M44</f>
        <v>0</v>
      </c>
      <c r="N43" s="3443"/>
    </row>
    <row r="44" spans="1:76" s="371" customFormat="1" ht="14.25" hidden="1" customHeight="1">
      <c r="A44" s="3545"/>
      <c r="B44" s="698" t="s">
        <v>24</v>
      </c>
      <c r="C44" s="3563" t="s">
        <v>171</v>
      </c>
      <c r="D44" s="632"/>
      <c r="E44" s="632">
        <v>0</v>
      </c>
      <c r="F44" s="632">
        <f t="shared" ref="F44:G44" si="38">F45+F46</f>
        <v>0</v>
      </c>
      <c r="G44" s="632">
        <f t="shared" si="38"/>
        <v>0</v>
      </c>
      <c r="H44" s="632">
        <f>H45+H46</f>
        <v>0</v>
      </c>
      <c r="I44" s="632">
        <f>I45+I46</f>
        <v>0</v>
      </c>
      <c r="J44" s="632"/>
      <c r="K44" s="632"/>
      <c r="L44" s="632"/>
      <c r="M44" s="685">
        <f>+M45</f>
        <v>0</v>
      </c>
      <c r="N44" s="3443"/>
    </row>
    <row r="45" spans="1:76" s="371" customFormat="1" ht="14.25" hidden="1" customHeight="1">
      <c r="A45" s="3545"/>
      <c r="B45" s="696" t="s">
        <v>126</v>
      </c>
      <c r="C45" s="3564"/>
      <c r="D45" s="630"/>
      <c r="E45" s="628"/>
      <c r="F45" s="628">
        <v>0</v>
      </c>
      <c r="G45" s="628">
        <v>0</v>
      </c>
      <c r="H45" s="628">
        <v>0</v>
      </c>
      <c r="I45" s="628">
        <v>0</v>
      </c>
      <c r="J45" s="628"/>
      <c r="K45" s="628"/>
      <c r="L45" s="628"/>
      <c r="M45" s="678">
        <f>SUM(F45:I45)</f>
        <v>0</v>
      </c>
      <c r="N45" s="3443"/>
    </row>
    <row r="46" spans="1:76" s="371" customFormat="1" ht="14.25" hidden="1" customHeight="1">
      <c r="A46" s="3545"/>
      <c r="B46" s="705" t="s">
        <v>32</v>
      </c>
      <c r="C46" s="3558" t="s">
        <v>23</v>
      </c>
      <c r="D46" s="630"/>
      <c r="E46" s="628"/>
      <c r="F46" s="533"/>
      <c r="G46" s="533">
        <v>0</v>
      </c>
      <c r="H46" s="533">
        <v>0</v>
      </c>
      <c r="I46" s="533">
        <v>0</v>
      </c>
      <c r="J46" s="533"/>
      <c r="K46" s="533"/>
      <c r="L46" s="533"/>
      <c r="M46" s="706" t="s">
        <v>61</v>
      </c>
      <c r="N46" s="3443"/>
    </row>
    <row r="47" spans="1:76" s="371" customFormat="1" ht="14.25" hidden="1" customHeight="1">
      <c r="A47" s="3545"/>
      <c r="B47" s="707" t="s">
        <v>18</v>
      </c>
      <c r="C47" s="3565"/>
      <c r="D47" s="688"/>
      <c r="E47" s="688">
        <v>0</v>
      </c>
      <c r="F47" s="688">
        <f t="shared" ref="F47:M47" si="39">+F48</f>
        <v>0</v>
      </c>
      <c r="G47" s="688">
        <f t="shared" si="39"/>
        <v>0</v>
      </c>
      <c r="H47" s="688">
        <f t="shared" si="39"/>
        <v>0</v>
      </c>
      <c r="I47" s="688">
        <f t="shared" si="39"/>
        <v>0</v>
      </c>
      <c r="J47" s="688"/>
      <c r="K47" s="688"/>
      <c r="L47" s="688"/>
      <c r="M47" s="695" t="str">
        <f t="shared" si="39"/>
        <v>x</v>
      </c>
      <c r="N47" s="3443"/>
    </row>
    <row r="48" spans="1:76" s="371" customFormat="1" ht="14.25" hidden="1" customHeight="1">
      <c r="A48" s="3545"/>
      <c r="B48" s="705" t="s">
        <v>35</v>
      </c>
      <c r="C48" s="3552"/>
      <c r="D48" s="630"/>
      <c r="E48" s="628"/>
      <c r="F48" s="628">
        <v>0</v>
      </c>
      <c r="G48" s="628">
        <v>0</v>
      </c>
      <c r="H48" s="628">
        <v>0</v>
      </c>
      <c r="I48" s="628">
        <v>0</v>
      </c>
      <c r="J48" s="628"/>
      <c r="K48" s="628"/>
      <c r="L48" s="628"/>
      <c r="M48" s="708" t="s">
        <v>61</v>
      </c>
      <c r="N48" s="3443"/>
    </row>
    <row r="49" spans="1:76" s="690" customFormat="1" ht="14.25" hidden="1" customHeight="1">
      <c r="A49" s="3545"/>
      <c r="B49" s="642" t="s">
        <v>22</v>
      </c>
      <c r="C49" s="693"/>
      <c r="D49" s="680"/>
      <c r="E49" s="680">
        <v>0</v>
      </c>
      <c r="F49" s="680">
        <f>F52+F50</f>
        <v>0</v>
      </c>
      <c r="G49" s="680">
        <f>G52+G50</f>
        <v>0</v>
      </c>
      <c r="H49" s="680">
        <f>H52+H50</f>
        <v>0</v>
      </c>
      <c r="I49" s="680">
        <f>I52+I50</f>
        <v>0</v>
      </c>
      <c r="J49" s="680"/>
      <c r="K49" s="680"/>
      <c r="L49" s="680"/>
      <c r="M49" s="3566" t="s">
        <v>61</v>
      </c>
      <c r="N49" s="3443"/>
    </row>
    <row r="50" spans="1:76" s="690" customFormat="1" ht="14.25" hidden="1" customHeight="1">
      <c r="A50" s="3545"/>
      <c r="B50" s="698" t="s">
        <v>24</v>
      </c>
      <c r="C50" s="3563" t="s">
        <v>171</v>
      </c>
      <c r="D50" s="709"/>
      <c r="E50" s="709">
        <v>0</v>
      </c>
      <c r="F50" s="709">
        <f t="shared" ref="F50:I50" si="40">+F51</f>
        <v>0</v>
      </c>
      <c r="G50" s="709">
        <f t="shared" si="40"/>
        <v>0</v>
      </c>
      <c r="H50" s="709">
        <f t="shared" si="40"/>
        <v>0</v>
      </c>
      <c r="I50" s="709">
        <f t="shared" si="40"/>
        <v>0</v>
      </c>
      <c r="J50" s="709"/>
      <c r="K50" s="709"/>
      <c r="L50" s="709"/>
      <c r="M50" s="3567"/>
      <c r="N50" s="3443"/>
    </row>
    <row r="51" spans="1:76" s="690" customFormat="1" ht="14.25" hidden="1" customHeight="1">
      <c r="A51" s="3545"/>
      <c r="B51" s="705" t="s">
        <v>144</v>
      </c>
      <c r="C51" s="3564"/>
      <c r="D51" s="630"/>
      <c r="E51" s="628"/>
      <c r="F51" s="628">
        <v>0</v>
      </c>
      <c r="G51" s="628">
        <v>0</v>
      </c>
      <c r="H51" s="628">
        <v>0</v>
      </c>
      <c r="I51" s="628">
        <v>0</v>
      </c>
      <c r="J51" s="628"/>
      <c r="K51" s="628"/>
      <c r="L51" s="628"/>
      <c r="M51" s="3567"/>
      <c r="N51" s="3443"/>
      <c r="P51" s="710">
        <v>-13525758</v>
      </c>
    </row>
    <row r="52" spans="1:76" s="371" customFormat="1" ht="14.25" hidden="1" customHeight="1">
      <c r="A52" s="3545"/>
      <c r="B52" s="707" t="s">
        <v>18</v>
      </c>
      <c r="C52" s="3558" t="s">
        <v>23</v>
      </c>
      <c r="D52" s="632"/>
      <c r="E52" s="632">
        <v>0</v>
      </c>
      <c r="F52" s="632">
        <f t="shared" ref="F52:I52" si="41">+F53</f>
        <v>0</v>
      </c>
      <c r="G52" s="632">
        <f t="shared" si="41"/>
        <v>0</v>
      </c>
      <c r="H52" s="632">
        <f t="shared" si="41"/>
        <v>0</v>
      </c>
      <c r="I52" s="632">
        <f t="shared" si="41"/>
        <v>0</v>
      </c>
      <c r="J52" s="632"/>
      <c r="K52" s="632"/>
      <c r="L52" s="632"/>
      <c r="M52" s="3567"/>
      <c r="N52" s="3443"/>
    </row>
    <row r="53" spans="1:76" s="371" customFormat="1" ht="14.25" hidden="1" customHeight="1" thickBot="1">
      <c r="A53" s="3546"/>
      <c r="B53" s="711" t="s">
        <v>35</v>
      </c>
      <c r="C53" s="3556"/>
      <c r="D53" s="700"/>
      <c r="E53" s="686"/>
      <c r="F53" s="686">
        <v>0</v>
      </c>
      <c r="G53" s="686">
        <v>0</v>
      </c>
      <c r="H53" s="686">
        <v>0</v>
      </c>
      <c r="I53" s="686">
        <v>0</v>
      </c>
      <c r="J53" s="686"/>
      <c r="K53" s="686"/>
      <c r="L53" s="686"/>
      <c r="M53" s="3568"/>
      <c r="N53" s="3444"/>
    </row>
    <row r="54" spans="1:76" s="371" customFormat="1" ht="39" hidden="1" customHeight="1">
      <c r="A54" s="3544" t="s">
        <v>66</v>
      </c>
      <c r="B54" s="691"/>
      <c r="C54" s="692" t="s">
        <v>81</v>
      </c>
      <c r="D54" s="701"/>
      <c r="E54" s="702"/>
      <c r="F54" s="702"/>
      <c r="G54" s="702"/>
      <c r="H54" s="703"/>
      <c r="I54" s="703"/>
      <c r="J54" s="703"/>
      <c r="K54" s="703"/>
      <c r="L54" s="703"/>
      <c r="M54" s="712"/>
      <c r="N54" s="3547" t="s">
        <v>172</v>
      </c>
      <c r="BX54" s="690"/>
    </row>
    <row r="55" spans="1:76" s="371" customFormat="1" ht="13.5" hidden="1" customHeight="1">
      <c r="A55" s="3545"/>
      <c r="B55" s="642" t="s">
        <v>10</v>
      </c>
      <c r="C55" s="693"/>
      <c r="D55" s="680"/>
      <c r="E55" s="680">
        <v>0</v>
      </c>
      <c r="F55" s="680">
        <f t="shared" ref="F55:I55" si="42">+F56+F59</f>
        <v>0</v>
      </c>
      <c r="G55" s="680">
        <f t="shared" si="42"/>
        <v>0</v>
      </c>
      <c r="H55" s="680">
        <f t="shared" si="42"/>
        <v>0</v>
      </c>
      <c r="I55" s="680">
        <f t="shared" si="42"/>
        <v>0</v>
      </c>
      <c r="J55" s="680"/>
      <c r="K55" s="680"/>
      <c r="L55" s="680"/>
      <c r="M55" s="683">
        <f>+M56</f>
        <v>0</v>
      </c>
      <c r="N55" s="3443"/>
    </row>
    <row r="56" spans="1:76" s="371" customFormat="1" ht="13.5" hidden="1" customHeight="1">
      <c r="A56" s="3545"/>
      <c r="B56" s="684" t="s">
        <v>24</v>
      </c>
      <c r="C56" s="3563" t="s">
        <v>336</v>
      </c>
      <c r="D56" s="632"/>
      <c r="E56" s="632">
        <v>0</v>
      </c>
      <c r="F56" s="632">
        <f t="shared" ref="F56:G56" si="43">+F57+F58</f>
        <v>0</v>
      </c>
      <c r="G56" s="632">
        <f t="shared" si="43"/>
        <v>0</v>
      </c>
      <c r="H56" s="632">
        <f>+H57+H58</f>
        <v>0</v>
      </c>
      <c r="I56" s="632">
        <f>+I57+I58</f>
        <v>0</v>
      </c>
      <c r="J56" s="632"/>
      <c r="K56" s="632"/>
      <c r="L56" s="632"/>
      <c r="M56" s="713">
        <f>+M57</f>
        <v>0</v>
      </c>
      <c r="N56" s="3443"/>
    </row>
    <row r="57" spans="1:76" s="371" customFormat="1" ht="13.5" hidden="1" customHeight="1">
      <c r="A57" s="3545"/>
      <c r="B57" s="714" t="s">
        <v>126</v>
      </c>
      <c r="C57" s="3564"/>
      <c r="D57" s="630"/>
      <c r="E57" s="628"/>
      <c r="F57" s="628">
        <v>0</v>
      </c>
      <c r="G57" s="628">
        <v>0</v>
      </c>
      <c r="H57" s="628">
        <v>0</v>
      </c>
      <c r="I57" s="628">
        <v>0</v>
      </c>
      <c r="J57" s="628"/>
      <c r="K57" s="628"/>
      <c r="L57" s="628"/>
      <c r="M57" s="678">
        <f>SUM(F57:I57)</f>
        <v>0</v>
      </c>
      <c r="N57" s="3443"/>
    </row>
    <row r="58" spans="1:76" s="371" customFormat="1" ht="13.5" hidden="1" customHeight="1">
      <c r="A58" s="3545"/>
      <c r="B58" s="650" t="s">
        <v>32</v>
      </c>
      <c r="C58" s="2739"/>
      <c r="D58" s="630"/>
      <c r="E58" s="628"/>
      <c r="F58" s="628"/>
      <c r="G58" s="628"/>
      <c r="H58" s="628"/>
      <c r="I58" s="628"/>
      <c r="J58" s="628"/>
      <c r="K58" s="628"/>
      <c r="L58" s="628"/>
      <c r="M58" s="679" t="s">
        <v>61</v>
      </c>
      <c r="N58" s="3443"/>
    </row>
    <row r="59" spans="1:76" s="371" customFormat="1" ht="13.5" hidden="1" customHeight="1">
      <c r="A59" s="3545"/>
      <c r="B59" s="687" t="s">
        <v>18</v>
      </c>
      <c r="C59" s="3558" t="s">
        <v>23</v>
      </c>
      <c r="D59" s="709"/>
      <c r="E59" s="709">
        <v>0</v>
      </c>
      <c r="F59" s="709">
        <f t="shared" ref="F59:M59" si="44">+F60</f>
        <v>0</v>
      </c>
      <c r="G59" s="709">
        <f t="shared" si="44"/>
        <v>0</v>
      </c>
      <c r="H59" s="709">
        <f t="shared" si="44"/>
        <v>0</v>
      </c>
      <c r="I59" s="709">
        <f t="shared" si="44"/>
        <v>0</v>
      </c>
      <c r="J59" s="715"/>
      <c r="K59" s="715"/>
      <c r="L59" s="715"/>
      <c r="M59" s="695" t="str">
        <f t="shared" si="44"/>
        <v>x</v>
      </c>
      <c r="N59" s="3443"/>
    </row>
    <row r="60" spans="1:76" s="371" customFormat="1" ht="13.5" hidden="1" customHeight="1">
      <c r="A60" s="3545"/>
      <c r="B60" s="716" t="s">
        <v>35</v>
      </c>
      <c r="C60" s="3552"/>
      <c r="D60" s="630"/>
      <c r="E60" s="628"/>
      <c r="F60" s="628">
        <v>0</v>
      </c>
      <c r="G60" s="628">
        <v>0</v>
      </c>
      <c r="H60" s="628">
        <v>0</v>
      </c>
      <c r="I60" s="628">
        <v>0</v>
      </c>
      <c r="J60" s="628"/>
      <c r="K60" s="628"/>
      <c r="L60" s="628"/>
      <c r="M60" s="708" t="s">
        <v>61</v>
      </c>
      <c r="N60" s="3443"/>
    </row>
    <row r="61" spans="1:76" s="371" customFormat="1" ht="13.5" hidden="1" customHeight="1">
      <c r="A61" s="3545"/>
      <c r="B61" s="642" t="s">
        <v>22</v>
      </c>
      <c r="C61" s="717"/>
      <c r="D61" s="680"/>
      <c r="E61" s="680">
        <v>0</v>
      </c>
      <c r="F61" s="680">
        <f t="shared" ref="F61:G61" si="45">+F62+F64</f>
        <v>0</v>
      </c>
      <c r="G61" s="680">
        <f t="shared" si="45"/>
        <v>0</v>
      </c>
      <c r="H61" s="680">
        <f>+H62+H64</f>
        <v>0</v>
      </c>
      <c r="I61" s="680">
        <f>+I62+I64</f>
        <v>0</v>
      </c>
      <c r="J61" s="680"/>
      <c r="K61" s="680"/>
      <c r="L61" s="680"/>
      <c r="M61" s="3455" t="s">
        <v>61</v>
      </c>
      <c r="N61" s="3443"/>
    </row>
    <row r="62" spans="1:76" s="371" customFormat="1" ht="13.5" hidden="1" customHeight="1">
      <c r="A62" s="3545"/>
      <c r="B62" s="684" t="s">
        <v>24</v>
      </c>
      <c r="C62" s="3563" t="s">
        <v>336</v>
      </c>
      <c r="D62" s="709"/>
      <c r="E62" s="632">
        <v>0</v>
      </c>
      <c r="F62" s="632">
        <f t="shared" ref="F62:I62" si="46">+F63</f>
        <v>0</v>
      </c>
      <c r="G62" s="632">
        <f t="shared" si="46"/>
        <v>0</v>
      </c>
      <c r="H62" s="632">
        <f t="shared" si="46"/>
        <v>0</v>
      </c>
      <c r="I62" s="632">
        <f t="shared" si="46"/>
        <v>0</v>
      </c>
      <c r="J62" s="632"/>
      <c r="K62" s="632"/>
      <c r="L62" s="632"/>
      <c r="M62" s="3456"/>
      <c r="N62" s="3443"/>
    </row>
    <row r="63" spans="1:76" s="371" customFormat="1" ht="13.5" hidden="1" customHeight="1">
      <c r="A63" s="3545"/>
      <c r="B63" s="716" t="s">
        <v>144</v>
      </c>
      <c r="C63" s="3564"/>
      <c r="D63" s="630"/>
      <c r="E63" s="628"/>
      <c r="F63" s="628">
        <v>0</v>
      </c>
      <c r="G63" s="628">
        <v>0</v>
      </c>
      <c r="H63" s="628">
        <v>0</v>
      </c>
      <c r="I63" s="628">
        <v>0</v>
      </c>
      <c r="J63" s="628"/>
      <c r="K63" s="628"/>
      <c r="L63" s="628"/>
      <c r="M63" s="3456"/>
      <c r="N63" s="3443"/>
    </row>
    <row r="64" spans="1:76" s="371" customFormat="1" ht="13.5" hidden="1" customHeight="1">
      <c r="A64" s="3545"/>
      <c r="B64" s="718" t="s">
        <v>18</v>
      </c>
      <c r="C64" s="3558" t="s">
        <v>23</v>
      </c>
      <c r="D64" s="709"/>
      <c r="E64" s="709">
        <v>0</v>
      </c>
      <c r="F64" s="709">
        <f t="shared" ref="F64:I64" si="47">+F65</f>
        <v>0</v>
      </c>
      <c r="G64" s="709">
        <f t="shared" si="47"/>
        <v>0</v>
      </c>
      <c r="H64" s="709">
        <f t="shared" si="47"/>
        <v>0</v>
      </c>
      <c r="I64" s="709">
        <f t="shared" si="47"/>
        <v>0</v>
      </c>
      <c r="J64" s="709"/>
      <c r="K64" s="709"/>
      <c r="L64" s="709"/>
      <c r="M64" s="3456"/>
      <c r="N64" s="3443"/>
    </row>
    <row r="65" spans="1:16" s="371" customFormat="1" ht="13.5" hidden="1" customHeight="1" thickBot="1">
      <c r="A65" s="3546"/>
      <c r="B65" s="719" t="s">
        <v>35</v>
      </c>
      <c r="C65" s="3552"/>
      <c r="D65" s="630"/>
      <c r="E65" s="628"/>
      <c r="F65" s="479">
        <v>0</v>
      </c>
      <c r="G65" s="479">
        <v>0</v>
      </c>
      <c r="H65" s="479">
        <v>0</v>
      </c>
      <c r="I65" s="479">
        <v>0</v>
      </c>
      <c r="J65" s="479"/>
      <c r="K65" s="479"/>
      <c r="L65" s="479"/>
      <c r="M65" s="3457"/>
      <c r="N65" s="3444"/>
    </row>
    <row r="66" spans="1:16" s="371" customFormat="1" ht="27.75" hidden="1" customHeight="1">
      <c r="A66" s="3544" t="s">
        <v>66</v>
      </c>
      <c r="B66" s="691"/>
      <c r="C66" s="692" t="s">
        <v>81</v>
      </c>
      <c r="D66" s="701"/>
      <c r="E66" s="702"/>
      <c r="F66" s="702"/>
      <c r="G66" s="702"/>
      <c r="H66" s="703"/>
      <c r="I66" s="703"/>
      <c r="J66" s="703"/>
      <c r="K66" s="703"/>
      <c r="L66" s="703"/>
      <c r="M66" s="712"/>
      <c r="N66" s="3547" t="s">
        <v>168</v>
      </c>
    </row>
    <row r="67" spans="1:16" s="371" customFormat="1" ht="13.5" hidden="1" customHeight="1">
      <c r="A67" s="3545"/>
      <c r="B67" s="642" t="s">
        <v>10</v>
      </c>
      <c r="C67" s="717"/>
      <c r="D67" s="680"/>
      <c r="E67" s="680">
        <v>0</v>
      </c>
      <c r="F67" s="680">
        <f>+F68+F71</f>
        <v>0</v>
      </c>
      <c r="G67" s="680">
        <f>+G68+G71</f>
        <v>0</v>
      </c>
      <c r="H67" s="680">
        <f>+H68+H71</f>
        <v>0</v>
      </c>
      <c r="I67" s="680">
        <f>+I68+I71</f>
        <v>0</v>
      </c>
      <c r="J67" s="680"/>
      <c r="K67" s="680"/>
      <c r="L67" s="680"/>
      <c r="M67" s="683">
        <f>+M68</f>
        <v>0</v>
      </c>
      <c r="N67" s="3443"/>
      <c r="P67" s="199"/>
    </row>
    <row r="68" spans="1:16" s="371" customFormat="1" ht="13.5" hidden="1" customHeight="1">
      <c r="A68" s="3545"/>
      <c r="B68" s="684" t="s">
        <v>24</v>
      </c>
      <c r="C68" s="3558" t="s">
        <v>23</v>
      </c>
      <c r="D68" s="632"/>
      <c r="E68" s="632">
        <v>0</v>
      </c>
      <c r="F68" s="632">
        <f>F70+F69</f>
        <v>0</v>
      </c>
      <c r="G68" s="632">
        <f>G70+G69</f>
        <v>0</v>
      </c>
      <c r="H68" s="632">
        <f>H70+H69</f>
        <v>0</v>
      </c>
      <c r="I68" s="632">
        <f>I70+I69</f>
        <v>0</v>
      </c>
      <c r="J68" s="632"/>
      <c r="K68" s="632"/>
      <c r="L68" s="632"/>
      <c r="M68" s="685">
        <f>+M70</f>
        <v>0</v>
      </c>
      <c r="N68" s="3443"/>
    </row>
    <row r="69" spans="1:16" s="371" customFormat="1" ht="13.5" hidden="1" customHeight="1">
      <c r="A69" s="3545"/>
      <c r="B69" s="714" t="s">
        <v>32</v>
      </c>
      <c r="C69" s="3552"/>
      <c r="D69" s="630"/>
      <c r="E69" s="628"/>
      <c r="F69" s="694">
        <v>0</v>
      </c>
      <c r="G69" s="694">
        <v>0</v>
      </c>
      <c r="H69" s="694">
        <v>0</v>
      </c>
      <c r="I69" s="694">
        <v>0</v>
      </c>
      <c r="J69" s="694"/>
      <c r="K69" s="694"/>
      <c r="L69" s="694"/>
      <c r="M69" s="708" t="s">
        <v>61</v>
      </c>
      <c r="N69" s="3443"/>
    </row>
    <row r="70" spans="1:16" s="371" customFormat="1" ht="22.5" hidden="1" customHeight="1">
      <c r="A70" s="3545"/>
      <c r="B70" s="720" t="s">
        <v>126</v>
      </c>
      <c r="C70" s="721" t="s">
        <v>169</v>
      </c>
      <c r="D70" s="630"/>
      <c r="E70" s="630">
        <v>0</v>
      </c>
      <c r="F70" s="631">
        <v>0</v>
      </c>
      <c r="G70" s="631">
        <v>0</v>
      </c>
      <c r="H70" s="631">
        <v>0</v>
      </c>
      <c r="I70" s="631">
        <v>0</v>
      </c>
      <c r="J70" s="631"/>
      <c r="K70" s="631"/>
      <c r="L70" s="631"/>
      <c r="M70" s="651">
        <f>SUM(F70:I70)</f>
        <v>0</v>
      </c>
      <c r="N70" s="3443"/>
    </row>
    <row r="71" spans="1:16" s="371" customFormat="1" ht="13.5" hidden="1" customHeight="1">
      <c r="A71" s="3545"/>
      <c r="B71" s="722" t="s">
        <v>18</v>
      </c>
      <c r="C71" s="3558" t="s">
        <v>23</v>
      </c>
      <c r="D71" s="632"/>
      <c r="E71" s="632">
        <v>0</v>
      </c>
      <c r="F71" s="632">
        <f t="shared" ref="F71:M71" si="48">+F72</f>
        <v>0</v>
      </c>
      <c r="G71" s="632">
        <f t="shared" si="48"/>
        <v>0</v>
      </c>
      <c r="H71" s="632">
        <f t="shared" si="48"/>
        <v>0</v>
      </c>
      <c r="I71" s="632">
        <f t="shared" si="48"/>
        <v>0</v>
      </c>
      <c r="J71" s="688"/>
      <c r="K71" s="688"/>
      <c r="L71" s="688"/>
      <c r="M71" s="695" t="str">
        <f t="shared" si="48"/>
        <v>x</v>
      </c>
      <c r="N71" s="3443"/>
    </row>
    <row r="72" spans="1:16" s="371" customFormat="1" ht="12" hidden="1">
      <c r="A72" s="3545"/>
      <c r="B72" s="714" t="s">
        <v>35</v>
      </c>
      <c r="C72" s="3552"/>
      <c r="D72" s="630"/>
      <c r="E72" s="628"/>
      <c r="F72" s="694">
        <v>0</v>
      </c>
      <c r="G72" s="694">
        <v>0</v>
      </c>
      <c r="H72" s="694">
        <v>0</v>
      </c>
      <c r="I72" s="694">
        <v>0</v>
      </c>
      <c r="J72" s="694"/>
      <c r="K72" s="694"/>
      <c r="L72" s="694"/>
      <c r="M72" s="708" t="s">
        <v>61</v>
      </c>
      <c r="N72" s="3443"/>
    </row>
    <row r="73" spans="1:16" s="371" customFormat="1" ht="13.5" hidden="1" customHeight="1">
      <c r="A73" s="3545"/>
      <c r="B73" s="642" t="s">
        <v>22</v>
      </c>
      <c r="C73" s="717"/>
      <c r="D73" s="680"/>
      <c r="E73" s="680">
        <v>0</v>
      </c>
      <c r="F73" s="680">
        <f>+F74+F76</f>
        <v>0</v>
      </c>
      <c r="G73" s="680">
        <f>+G74+G76</f>
        <v>0</v>
      </c>
      <c r="H73" s="680">
        <f>+H74+H76</f>
        <v>0</v>
      </c>
      <c r="I73" s="680">
        <f>+I74+I76</f>
        <v>0</v>
      </c>
      <c r="J73" s="680"/>
      <c r="K73" s="680"/>
      <c r="L73" s="680"/>
      <c r="M73" s="3455" t="s">
        <v>61</v>
      </c>
      <c r="N73" s="3443"/>
    </row>
    <row r="74" spans="1:16" s="371" customFormat="1" ht="13.5" hidden="1" customHeight="1">
      <c r="A74" s="3545"/>
      <c r="B74" s="684" t="s">
        <v>24</v>
      </c>
      <c r="C74" s="3563" t="s">
        <v>169</v>
      </c>
      <c r="D74" s="723"/>
      <c r="E74" s="723">
        <v>0</v>
      </c>
      <c r="F74" s="723">
        <f t="shared" ref="F74:I74" si="49">+F75</f>
        <v>0</v>
      </c>
      <c r="G74" s="723">
        <f t="shared" si="49"/>
        <v>0</v>
      </c>
      <c r="H74" s="723">
        <f t="shared" si="49"/>
        <v>0</v>
      </c>
      <c r="I74" s="723">
        <f t="shared" si="49"/>
        <v>0</v>
      </c>
      <c r="J74" s="723"/>
      <c r="K74" s="723"/>
      <c r="L74" s="723"/>
      <c r="M74" s="3456"/>
      <c r="N74" s="3562"/>
    </row>
    <row r="75" spans="1:16" s="371" customFormat="1" ht="13.5" hidden="1" customHeight="1">
      <c r="A75" s="3545"/>
      <c r="B75" s="714" t="s">
        <v>144</v>
      </c>
      <c r="C75" s="3564"/>
      <c r="D75" s="630"/>
      <c r="E75" s="628"/>
      <c r="F75" s="694">
        <v>0</v>
      </c>
      <c r="G75" s="694">
        <v>0</v>
      </c>
      <c r="H75" s="694">
        <v>0</v>
      </c>
      <c r="I75" s="694">
        <v>0</v>
      </c>
      <c r="J75" s="694"/>
      <c r="K75" s="694"/>
      <c r="L75" s="694"/>
      <c r="M75" s="3456"/>
      <c r="N75" s="3562"/>
      <c r="P75" s="199">
        <v>-1488145</v>
      </c>
    </row>
    <row r="76" spans="1:16" s="371" customFormat="1" ht="13.5" hidden="1" customHeight="1">
      <c r="A76" s="3545"/>
      <c r="B76" s="714" t="s">
        <v>18</v>
      </c>
      <c r="C76" s="3558" t="s">
        <v>23</v>
      </c>
      <c r="D76" s="632"/>
      <c r="E76" s="632">
        <v>0</v>
      </c>
      <c r="F76" s="632">
        <f t="shared" ref="F76:I76" si="50">+F77</f>
        <v>0</v>
      </c>
      <c r="G76" s="632">
        <f t="shared" si="50"/>
        <v>0</v>
      </c>
      <c r="H76" s="632">
        <f t="shared" si="50"/>
        <v>0</v>
      </c>
      <c r="I76" s="632">
        <f t="shared" si="50"/>
        <v>0</v>
      </c>
      <c r="J76" s="632"/>
      <c r="K76" s="632"/>
      <c r="L76" s="632"/>
      <c r="M76" s="3456"/>
      <c r="N76" s="3562"/>
    </row>
    <row r="77" spans="1:16" s="371" customFormat="1" ht="13.5" hidden="1" customHeight="1" thickBot="1">
      <c r="A77" s="3383"/>
      <c r="B77" s="689" t="s">
        <v>35</v>
      </c>
      <c r="C77" s="3552"/>
      <c r="D77" s="630"/>
      <c r="E77" s="628">
        <v>0</v>
      </c>
      <c r="F77" s="686">
        <v>0</v>
      </c>
      <c r="G77" s="686">
        <v>0</v>
      </c>
      <c r="H77" s="686">
        <v>0</v>
      </c>
      <c r="I77" s="686">
        <v>0</v>
      </c>
      <c r="J77" s="686"/>
      <c r="K77" s="686"/>
      <c r="L77" s="686"/>
      <c r="M77" s="3457"/>
      <c r="N77" s="3392"/>
    </row>
    <row r="78" spans="1:16" s="371" customFormat="1" ht="39" hidden="1" customHeight="1">
      <c r="A78" s="3559" t="s">
        <v>67</v>
      </c>
      <c r="B78" s="691" t="s">
        <v>332</v>
      </c>
      <c r="C78" s="692" t="s">
        <v>81</v>
      </c>
      <c r="D78" s="701"/>
      <c r="E78" s="702"/>
      <c r="F78" s="702"/>
      <c r="G78" s="702"/>
      <c r="H78" s="703"/>
      <c r="I78" s="703"/>
      <c r="J78" s="703"/>
      <c r="K78" s="703"/>
      <c r="L78" s="703"/>
      <c r="M78" s="712"/>
      <c r="N78" s="3547" t="s">
        <v>173</v>
      </c>
    </row>
    <row r="79" spans="1:16" s="441" customFormat="1" ht="16.5" hidden="1" customHeight="1">
      <c r="A79" s="3560"/>
      <c r="B79" s="642" t="s">
        <v>10</v>
      </c>
      <c r="C79" s="717"/>
      <c r="D79" s="633"/>
      <c r="E79" s="633">
        <v>0</v>
      </c>
      <c r="F79" s="633">
        <f t="shared" ref="F79:G79" si="51">+F80+F83</f>
        <v>0</v>
      </c>
      <c r="G79" s="633">
        <f t="shared" si="51"/>
        <v>0</v>
      </c>
      <c r="H79" s="633">
        <f>+H80+H83</f>
        <v>0</v>
      </c>
      <c r="I79" s="633">
        <f>+I80+I83</f>
        <v>0</v>
      </c>
      <c r="J79" s="633"/>
      <c r="K79" s="633"/>
      <c r="L79" s="633"/>
      <c r="M79" s="661">
        <f>+M80</f>
        <v>0</v>
      </c>
      <c r="N79" s="3443"/>
    </row>
    <row r="80" spans="1:16" s="371" customFormat="1" ht="13.5" hidden="1" customHeight="1">
      <c r="A80" s="3560"/>
      <c r="B80" s="684" t="s">
        <v>24</v>
      </c>
      <c r="C80" s="3557" t="s">
        <v>174</v>
      </c>
      <c r="D80" s="632"/>
      <c r="E80" s="632">
        <v>0</v>
      </c>
      <c r="F80" s="632">
        <f t="shared" ref="F80:I80" si="52">F82</f>
        <v>0</v>
      </c>
      <c r="G80" s="632">
        <f t="shared" si="52"/>
        <v>0</v>
      </c>
      <c r="H80" s="632">
        <f t="shared" si="52"/>
        <v>0</v>
      </c>
      <c r="I80" s="632">
        <f t="shared" si="52"/>
        <v>0</v>
      </c>
      <c r="J80" s="632"/>
      <c r="K80" s="632"/>
      <c r="L80" s="632"/>
      <c r="M80" s="685">
        <f>+M82</f>
        <v>0</v>
      </c>
      <c r="N80" s="3443"/>
    </row>
    <row r="81" spans="1:16" s="371" customFormat="1" ht="13.5" hidden="1" customHeight="1">
      <c r="A81" s="3560"/>
      <c r="B81" s="705" t="s">
        <v>32</v>
      </c>
      <c r="C81" s="3549"/>
      <c r="D81" s="630"/>
      <c r="E81" s="628"/>
      <c r="F81" s="632"/>
      <c r="G81" s="632"/>
      <c r="H81" s="632"/>
      <c r="I81" s="632"/>
      <c r="J81" s="632"/>
      <c r="K81" s="632"/>
      <c r="L81" s="632"/>
      <c r="M81" s="685">
        <v>0</v>
      </c>
      <c r="N81" s="3443"/>
    </row>
    <row r="82" spans="1:16" s="371" customFormat="1" ht="13.5" hidden="1" customHeight="1">
      <c r="A82" s="3560"/>
      <c r="B82" s="714" t="s">
        <v>126</v>
      </c>
      <c r="C82" s="3550"/>
      <c r="D82" s="630"/>
      <c r="E82" s="628"/>
      <c r="F82" s="628">
        <v>0</v>
      </c>
      <c r="G82" s="628">
        <v>0</v>
      </c>
      <c r="H82" s="628">
        <v>0</v>
      </c>
      <c r="I82" s="628">
        <v>0</v>
      </c>
      <c r="J82" s="628"/>
      <c r="K82" s="628"/>
      <c r="L82" s="628"/>
      <c r="M82" s="678">
        <f>SUM(F82:I82)</f>
        <v>0</v>
      </c>
      <c r="N82" s="3443"/>
    </row>
    <row r="83" spans="1:16" s="371" customFormat="1" ht="13.5" hidden="1" customHeight="1">
      <c r="A83" s="3560"/>
      <c r="B83" s="722" t="s">
        <v>18</v>
      </c>
      <c r="C83" s="3558" t="s">
        <v>23</v>
      </c>
      <c r="D83" s="632"/>
      <c r="E83" s="632">
        <v>0</v>
      </c>
      <c r="F83" s="632">
        <f t="shared" ref="F83:M83" si="53">+F84</f>
        <v>0</v>
      </c>
      <c r="G83" s="632">
        <f t="shared" si="53"/>
        <v>0</v>
      </c>
      <c r="H83" s="632">
        <f t="shared" si="53"/>
        <v>0</v>
      </c>
      <c r="I83" s="632">
        <f t="shared" si="53"/>
        <v>0</v>
      </c>
      <c r="J83" s="688"/>
      <c r="K83" s="688"/>
      <c r="L83" s="688"/>
      <c r="M83" s="695" t="str">
        <f t="shared" si="53"/>
        <v>x</v>
      </c>
      <c r="N83" s="3443"/>
    </row>
    <row r="84" spans="1:16" s="371" customFormat="1" ht="13.5" hidden="1" customHeight="1">
      <c r="A84" s="3560"/>
      <c r="B84" s="714" t="s">
        <v>35</v>
      </c>
      <c r="C84" s="3552"/>
      <c r="D84" s="630"/>
      <c r="E84" s="628"/>
      <c r="F84" s="628">
        <v>0</v>
      </c>
      <c r="G84" s="628">
        <v>0</v>
      </c>
      <c r="H84" s="628">
        <v>0</v>
      </c>
      <c r="I84" s="628">
        <v>0</v>
      </c>
      <c r="J84" s="533"/>
      <c r="K84" s="533"/>
      <c r="L84" s="533"/>
      <c r="M84" s="695" t="s">
        <v>61</v>
      </c>
      <c r="N84" s="3443"/>
    </row>
    <row r="85" spans="1:16" s="441" customFormat="1" ht="16.5" hidden="1" customHeight="1">
      <c r="A85" s="3560"/>
      <c r="B85" s="642" t="s">
        <v>22</v>
      </c>
      <c r="C85" s="717"/>
      <c r="D85" s="633"/>
      <c r="E85" s="633">
        <v>0</v>
      </c>
      <c r="F85" s="633">
        <f t="shared" ref="F85:G85" si="54">F88+F86</f>
        <v>0</v>
      </c>
      <c r="G85" s="633">
        <f t="shared" si="54"/>
        <v>0</v>
      </c>
      <c r="H85" s="633">
        <f>H88+H86</f>
        <v>0</v>
      </c>
      <c r="I85" s="633">
        <f>I88+I86</f>
        <v>0</v>
      </c>
      <c r="J85" s="633"/>
      <c r="K85" s="633"/>
      <c r="L85" s="633"/>
      <c r="M85" s="3455" t="s">
        <v>61</v>
      </c>
      <c r="N85" s="3443"/>
    </row>
    <row r="86" spans="1:16" s="371" customFormat="1" ht="13.5" hidden="1" customHeight="1">
      <c r="A86" s="3560"/>
      <c r="B86" s="684" t="s">
        <v>24</v>
      </c>
      <c r="C86" s="3557" t="s">
        <v>174</v>
      </c>
      <c r="D86" s="723"/>
      <c r="E86" s="723">
        <v>0</v>
      </c>
      <c r="F86" s="723">
        <f t="shared" ref="F86:I86" si="55">+F87</f>
        <v>0</v>
      </c>
      <c r="G86" s="723">
        <f t="shared" si="55"/>
        <v>0</v>
      </c>
      <c r="H86" s="723">
        <f t="shared" si="55"/>
        <v>0</v>
      </c>
      <c r="I86" s="723">
        <f t="shared" si="55"/>
        <v>0</v>
      </c>
      <c r="J86" s="723"/>
      <c r="K86" s="723"/>
      <c r="L86" s="723"/>
      <c r="M86" s="3456"/>
      <c r="N86" s="3562"/>
      <c r="P86" s="199">
        <v>-4922063</v>
      </c>
    </row>
    <row r="87" spans="1:16" s="371" customFormat="1" ht="13.5" hidden="1" customHeight="1">
      <c r="A87" s="3560"/>
      <c r="B87" s="714" t="s">
        <v>144</v>
      </c>
      <c r="C87" s="3550"/>
      <c r="D87" s="630"/>
      <c r="E87" s="628"/>
      <c r="F87" s="694">
        <v>0</v>
      </c>
      <c r="G87" s="694">
        <v>0</v>
      </c>
      <c r="H87" s="694">
        <v>0</v>
      </c>
      <c r="I87" s="694">
        <v>0</v>
      </c>
      <c r="J87" s="694"/>
      <c r="K87" s="694"/>
      <c r="L87" s="694"/>
      <c r="M87" s="3456"/>
      <c r="N87" s="3562"/>
    </row>
    <row r="88" spans="1:16" s="371" customFormat="1" ht="13.5" hidden="1" customHeight="1">
      <c r="A88" s="3560"/>
      <c r="B88" s="722" t="s">
        <v>18</v>
      </c>
      <c r="C88" s="3558" t="s">
        <v>23</v>
      </c>
      <c r="D88" s="632"/>
      <c r="E88" s="632">
        <v>0</v>
      </c>
      <c r="F88" s="632">
        <f t="shared" ref="F88:I88" si="56">+F89</f>
        <v>0</v>
      </c>
      <c r="G88" s="632">
        <f t="shared" si="56"/>
        <v>0</v>
      </c>
      <c r="H88" s="632">
        <f t="shared" si="56"/>
        <v>0</v>
      </c>
      <c r="I88" s="632">
        <f t="shared" si="56"/>
        <v>0</v>
      </c>
      <c r="J88" s="632"/>
      <c r="K88" s="632"/>
      <c r="L88" s="632"/>
      <c r="M88" s="3456"/>
      <c r="N88" s="3562"/>
    </row>
    <row r="89" spans="1:16" s="371" customFormat="1" ht="13.5" hidden="1" customHeight="1" thickBot="1">
      <c r="A89" s="3561"/>
      <c r="B89" s="689" t="s">
        <v>35</v>
      </c>
      <c r="C89" s="3556"/>
      <c r="D89" s="700"/>
      <c r="E89" s="686"/>
      <c r="F89" s="686">
        <v>0</v>
      </c>
      <c r="G89" s="686">
        <v>0</v>
      </c>
      <c r="H89" s="686">
        <v>0</v>
      </c>
      <c r="I89" s="686">
        <v>0</v>
      </c>
      <c r="J89" s="686"/>
      <c r="K89" s="686"/>
      <c r="L89" s="686"/>
      <c r="M89" s="3457"/>
      <c r="N89" s="3392"/>
    </row>
    <row r="90" spans="1:16" s="371" customFormat="1" ht="23.25" customHeight="1">
      <c r="A90" s="3544" t="s">
        <v>65</v>
      </c>
      <c r="B90" s="691" t="s">
        <v>438</v>
      </c>
      <c r="C90" s="692" t="s">
        <v>81</v>
      </c>
      <c r="D90" s="627"/>
      <c r="E90" s="681"/>
      <c r="F90" s="681"/>
      <c r="G90" s="681"/>
      <c r="H90" s="681"/>
      <c r="I90" s="681"/>
      <c r="J90" s="681"/>
      <c r="K90" s="681"/>
      <c r="L90" s="681"/>
      <c r="M90" s="682"/>
      <c r="N90" s="3547" t="s">
        <v>437</v>
      </c>
    </row>
    <row r="91" spans="1:16" s="371" customFormat="1" ht="13.5" customHeight="1">
      <c r="A91" s="3545"/>
      <c r="B91" s="642" t="s">
        <v>10</v>
      </c>
      <c r="C91" s="693"/>
      <c r="D91" s="680">
        <f>+D92+D95</f>
        <v>3973222</v>
      </c>
      <c r="E91" s="680">
        <f t="shared" ref="E91" si="57">+E92+E95</f>
        <v>0</v>
      </c>
      <c r="F91" s="680">
        <f t="shared" ref="F91:G91" si="58">+F92+F95</f>
        <v>34809</v>
      </c>
      <c r="G91" s="680">
        <f t="shared" si="58"/>
        <v>3938413</v>
      </c>
      <c r="H91" s="680">
        <f>+H92+H95</f>
        <v>0</v>
      </c>
      <c r="I91" s="680">
        <f>+I92+I95</f>
        <v>0</v>
      </c>
      <c r="J91" s="680">
        <f t="shared" ref="J91:K91" si="59">+J92+J95</f>
        <v>0</v>
      </c>
      <c r="K91" s="680">
        <f t="shared" si="59"/>
        <v>0</v>
      </c>
      <c r="L91" s="680"/>
      <c r="M91" s="683">
        <f>+M92</f>
        <v>1202512</v>
      </c>
      <c r="N91" s="3443"/>
    </row>
    <row r="92" spans="1:16" s="371" customFormat="1" ht="12">
      <c r="A92" s="3545"/>
      <c r="B92" s="1892" t="s">
        <v>24</v>
      </c>
      <c r="C92" s="3557" t="s">
        <v>436</v>
      </c>
      <c r="D92" s="632">
        <f>D94+D93</f>
        <v>1232217</v>
      </c>
      <c r="E92" s="632">
        <f t="shared" ref="E92" si="60">E94+E93</f>
        <v>0</v>
      </c>
      <c r="F92" s="632">
        <f t="shared" ref="F92:K92" si="61">F94+F93</f>
        <v>12454</v>
      </c>
      <c r="G92" s="632">
        <f t="shared" si="61"/>
        <v>1219763</v>
      </c>
      <c r="H92" s="632">
        <f t="shared" si="61"/>
        <v>0</v>
      </c>
      <c r="I92" s="632">
        <f t="shared" si="61"/>
        <v>0</v>
      </c>
      <c r="J92" s="632">
        <f t="shared" si="61"/>
        <v>0</v>
      </c>
      <c r="K92" s="632">
        <f t="shared" si="61"/>
        <v>0</v>
      </c>
      <c r="L92" s="632"/>
      <c r="M92" s="685">
        <f>+M94</f>
        <v>1202512</v>
      </c>
      <c r="N92" s="3443"/>
    </row>
    <row r="93" spans="1:16" s="371" customFormat="1" ht="12">
      <c r="A93" s="3545"/>
      <c r="B93" s="650" t="s">
        <v>32</v>
      </c>
      <c r="C93" s="3549"/>
      <c r="D93" s="280">
        <f>E93+F93+G93+H93+I93+J93+K93+L93</f>
        <v>29705</v>
      </c>
      <c r="E93" s="628">
        <v>0</v>
      </c>
      <c r="F93" s="694">
        <v>12454</v>
      </c>
      <c r="G93" s="694">
        <v>17251</v>
      </c>
      <c r="H93" s="694">
        <v>0</v>
      </c>
      <c r="I93" s="694">
        <v>0</v>
      </c>
      <c r="J93" s="965"/>
      <c r="K93" s="965"/>
      <c r="L93" s="965"/>
      <c r="M93" s="695" t="s">
        <v>61</v>
      </c>
      <c r="N93" s="3443"/>
    </row>
    <row r="94" spans="1:16" s="371" customFormat="1" ht="12">
      <c r="A94" s="3545"/>
      <c r="B94" s="696" t="s">
        <v>126</v>
      </c>
      <c r="C94" s="3550"/>
      <c r="D94" s="280">
        <f>E94+F94+G94+H94+I94+J94+K94+L94</f>
        <v>1202512</v>
      </c>
      <c r="E94" s="628">
        <v>0</v>
      </c>
      <c r="F94" s="631">
        <f>62454-62454</f>
        <v>0</v>
      </c>
      <c r="G94" s="631">
        <f>1469763-267251</f>
        <v>1202512</v>
      </c>
      <c r="H94" s="631"/>
      <c r="I94" s="631"/>
      <c r="J94" s="631"/>
      <c r="K94" s="631"/>
      <c r="L94" s="631"/>
      <c r="M94" s="678">
        <f>SUM(F94:L94)</f>
        <v>1202512</v>
      </c>
      <c r="N94" s="3443"/>
    </row>
    <row r="95" spans="1:16" s="371" customFormat="1" ht="13.5" customHeight="1">
      <c r="A95" s="3545"/>
      <c r="B95" s="1893" t="s">
        <v>18</v>
      </c>
      <c r="C95" s="3558" t="s">
        <v>23</v>
      </c>
      <c r="D95" s="966">
        <f>+D96</f>
        <v>2741005</v>
      </c>
      <c r="E95" s="966">
        <f t="shared" ref="E95:M95" si="62">+E96</f>
        <v>0</v>
      </c>
      <c r="F95" s="966">
        <f t="shared" si="62"/>
        <v>22355</v>
      </c>
      <c r="G95" s="966">
        <f t="shared" si="62"/>
        <v>2718650</v>
      </c>
      <c r="H95" s="966">
        <f t="shared" si="62"/>
        <v>0</v>
      </c>
      <c r="I95" s="966">
        <f t="shared" si="62"/>
        <v>0</v>
      </c>
      <c r="J95" s="966">
        <f t="shared" si="62"/>
        <v>0</v>
      </c>
      <c r="K95" s="966">
        <f t="shared" si="62"/>
        <v>0</v>
      </c>
      <c r="L95" s="1894"/>
      <c r="M95" s="1895" t="str">
        <f t="shared" si="62"/>
        <v>x</v>
      </c>
      <c r="N95" s="3443"/>
    </row>
    <row r="96" spans="1:16" s="371" customFormat="1" ht="12">
      <c r="A96" s="3545"/>
      <c r="B96" s="696" t="s">
        <v>35</v>
      </c>
      <c r="C96" s="3552"/>
      <c r="D96" s="280">
        <f>E96+F96+G96+H96+I96+J96+K96+L96</f>
        <v>2741005</v>
      </c>
      <c r="E96" s="628">
        <v>0</v>
      </c>
      <c r="F96" s="630">
        <v>22355</v>
      </c>
      <c r="G96" s="630">
        <v>2718650</v>
      </c>
      <c r="H96" s="630"/>
      <c r="I96" s="630"/>
      <c r="J96" s="967"/>
      <c r="K96" s="967"/>
      <c r="L96" s="967"/>
      <c r="M96" s="1896" t="s">
        <v>61</v>
      </c>
      <c r="N96" s="3443"/>
    </row>
    <row r="97" spans="1:14" s="371" customFormat="1" ht="13.5" customHeight="1">
      <c r="A97" s="3545"/>
      <c r="B97" s="642" t="s">
        <v>22</v>
      </c>
      <c r="C97" s="1897"/>
      <c r="D97" s="633">
        <f>D100+D98</f>
        <v>2741005</v>
      </c>
      <c r="E97" s="633">
        <f t="shared" ref="E97" si="63">E100+E98</f>
        <v>0</v>
      </c>
      <c r="F97" s="633">
        <f t="shared" ref="F97:G97" si="64">F100+F98</f>
        <v>22355</v>
      </c>
      <c r="G97" s="633">
        <f t="shared" si="64"/>
        <v>2718650</v>
      </c>
      <c r="H97" s="633">
        <f>H100+H98</f>
        <v>0</v>
      </c>
      <c r="I97" s="633">
        <f>I100+I98</f>
        <v>0</v>
      </c>
      <c r="J97" s="633">
        <f t="shared" ref="J97:K97" si="65">J100+J98</f>
        <v>0</v>
      </c>
      <c r="K97" s="633">
        <f t="shared" si="65"/>
        <v>0</v>
      </c>
      <c r="L97" s="633"/>
      <c r="M97" s="3553" t="s">
        <v>61</v>
      </c>
      <c r="N97" s="3443"/>
    </row>
    <row r="98" spans="1:14" s="371" customFormat="1" ht="13.5" hidden="1" customHeight="1">
      <c r="A98" s="3545"/>
      <c r="B98" s="698" t="s">
        <v>24</v>
      </c>
      <c r="C98" s="3557" t="s">
        <v>436</v>
      </c>
      <c r="D98" s="968">
        <f>+D99</f>
        <v>0</v>
      </c>
      <c r="E98" s="968">
        <f t="shared" ref="E98:K98" si="66">+E99</f>
        <v>0</v>
      </c>
      <c r="F98" s="968">
        <f t="shared" si="66"/>
        <v>0</v>
      </c>
      <c r="G98" s="968">
        <f t="shared" si="66"/>
        <v>0</v>
      </c>
      <c r="H98" s="968">
        <f t="shared" si="66"/>
        <v>0</v>
      </c>
      <c r="I98" s="968">
        <f t="shared" si="66"/>
        <v>0</v>
      </c>
      <c r="J98" s="968">
        <f t="shared" si="66"/>
        <v>0</v>
      </c>
      <c r="K98" s="968">
        <f t="shared" si="66"/>
        <v>0</v>
      </c>
      <c r="L98" s="968"/>
      <c r="M98" s="3554"/>
      <c r="N98" s="3443"/>
    </row>
    <row r="99" spans="1:14" s="371" customFormat="1" ht="12" hidden="1">
      <c r="A99" s="3545"/>
      <c r="B99" s="696" t="s">
        <v>144</v>
      </c>
      <c r="C99" s="3549"/>
      <c r="D99" s="280">
        <f>E99+F99+G99+H99+I99+J99+K99+L99</f>
        <v>0</v>
      </c>
      <c r="E99" s="631"/>
      <c r="F99" s="631"/>
      <c r="G99" s="631"/>
      <c r="H99" s="631"/>
      <c r="I99" s="631"/>
      <c r="J99" s="631"/>
      <c r="K99" s="631"/>
      <c r="L99" s="631"/>
      <c r="M99" s="3554"/>
      <c r="N99" s="3443"/>
    </row>
    <row r="100" spans="1:14" s="371" customFormat="1" ht="13.5" customHeight="1">
      <c r="A100" s="3545"/>
      <c r="B100" s="1893" t="s">
        <v>18</v>
      </c>
      <c r="C100" s="3558" t="s">
        <v>23</v>
      </c>
      <c r="D100" s="966">
        <f>+D101</f>
        <v>2741005</v>
      </c>
      <c r="E100" s="966">
        <f t="shared" ref="E100:K100" si="67">+E101</f>
        <v>0</v>
      </c>
      <c r="F100" s="966">
        <f t="shared" si="67"/>
        <v>22355</v>
      </c>
      <c r="G100" s="966">
        <f t="shared" si="67"/>
        <v>2718650</v>
      </c>
      <c r="H100" s="966">
        <f t="shared" si="67"/>
        <v>0</v>
      </c>
      <c r="I100" s="966">
        <f t="shared" si="67"/>
        <v>0</v>
      </c>
      <c r="J100" s="966">
        <f t="shared" si="67"/>
        <v>0</v>
      </c>
      <c r="K100" s="966">
        <f t="shared" si="67"/>
        <v>0</v>
      </c>
      <c r="L100" s="966"/>
      <c r="M100" s="3554"/>
      <c r="N100" s="3443"/>
    </row>
    <row r="101" spans="1:14" s="371" customFormat="1" ht="12.75" thickBot="1">
      <c r="A101" s="3546"/>
      <c r="B101" s="711" t="s">
        <v>35</v>
      </c>
      <c r="C101" s="3556"/>
      <c r="D101" s="280">
        <f>E101+F101+G101+H101+I101+J101+K101+L101</f>
        <v>2741005</v>
      </c>
      <c r="E101" s="628">
        <v>0</v>
      </c>
      <c r="F101" s="700">
        <v>22355</v>
      </c>
      <c r="G101" s="700">
        <v>2718650</v>
      </c>
      <c r="H101" s="700"/>
      <c r="I101" s="700"/>
      <c r="J101" s="700"/>
      <c r="K101" s="700"/>
      <c r="L101" s="700"/>
      <c r="M101" s="3555"/>
      <c r="N101" s="3444"/>
    </row>
    <row r="102" spans="1:14" s="371" customFormat="1" ht="24" customHeight="1">
      <c r="A102" s="3544" t="s">
        <v>66</v>
      </c>
      <c r="B102" s="691" t="s">
        <v>521</v>
      </c>
      <c r="C102" s="692" t="s">
        <v>81</v>
      </c>
      <c r="D102" s="627"/>
      <c r="E102" s="702"/>
      <c r="F102" s="702"/>
      <c r="G102" s="702"/>
      <c r="H102" s="702"/>
      <c r="I102" s="702"/>
      <c r="J102" s="702"/>
      <c r="K102" s="702"/>
      <c r="L102" s="702"/>
      <c r="M102" s="712"/>
      <c r="N102" s="3547" t="s">
        <v>437</v>
      </c>
    </row>
    <row r="103" spans="1:14" s="371" customFormat="1" ht="12">
      <c r="A103" s="3545"/>
      <c r="B103" s="2012" t="s">
        <v>10</v>
      </c>
      <c r="C103" s="2428"/>
      <c r="D103" s="2429">
        <f>+D104+D107</f>
        <v>300000</v>
      </c>
      <c r="E103" s="2429">
        <f t="shared" ref="E103" si="68">+E104+E107</f>
        <v>0</v>
      </c>
      <c r="F103" s="2429">
        <f t="shared" ref="F103:G103" si="69">+F104+F107</f>
        <v>50000</v>
      </c>
      <c r="G103" s="2429">
        <f t="shared" si="69"/>
        <v>250000</v>
      </c>
      <c r="H103" s="2429">
        <f>+H104+H107</f>
        <v>0</v>
      </c>
      <c r="I103" s="2429">
        <f>+I104+I107</f>
        <v>0</v>
      </c>
      <c r="J103" s="2429">
        <f t="shared" ref="J103:K103" si="70">+J104+J107</f>
        <v>0</v>
      </c>
      <c r="K103" s="2429">
        <f t="shared" si="70"/>
        <v>0</v>
      </c>
      <c r="L103" s="2429"/>
      <c r="M103" s="2430">
        <f>+M104</f>
        <v>300000</v>
      </c>
      <c r="N103" s="3443"/>
    </row>
    <row r="104" spans="1:14" s="371" customFormat="1" ht="12">
      <c r="A104" s="3545"/>
      <c r="B104" s="2431" t="s">
        <v>24</v>
      </c>
      <c r="C104" s="3548" t="s">
        <v>436</v>
      </c>
      <c r="D104" s="2432">
        <f>D106+D105</f>
        <v>300000</v>
      </c>
      <c r="E104" s="2432">
        <f t="shared" ref="E104" si="71">E106+E105</f>
        <v>0</v>
      </c>
      <c r="F104" s="2432">
        <f t="shared" ref="F104:K104" si="72">F106+F105</f>
        <v>50000</v>
      </c>
      <c r="G104" s="2432">
        <f t="shared" si="72"/>
        <v>250000</v>
      </c>
      <c r="H104" s="2432">
        <f t="shared" si="72"/>
        <v>0</v>
      </c>
      <c r="I104" s="2432">
        <f t="shared" si="72"/>
        <v>0</v>
      </c>
      <c r="J104" s="2432">
        <f t="shared" si="72"/>
        <v>0</v>
      </c>
      <c r="K104" s="2432">
        <f t="shared" si="72"/>
        <v>0</v>
      </c>
      <c r="L104" s="2432"/>
      <c r="M104" s="2275">
        <f>+M106</f>
        <v>300000</v>
      </c>
      <c r="N104" s="3443"/>
    </row>
    <row r="105" spans="1:14" s="371" customFormat="1" ht="13.5" hidden="1" customHeight="1">
      <c r="A105" s="3545"/>
      <c r="B105" s="2433" t="s">
        <v>32</v>
      </c>
      <c r="C105" s="3549"/>
      <c r="D105" s="280">
        <f>E105+F105+G105+H105+I105+J105+K105+L105</f>
        <v>0</v>
      </c>
      <c r="E105" s="1969"/>
      <c r="F105" s="2434">
        <v>0</v>
      </c>
      <c r="G105" s="2434">
        <v>0</v>
      </c>
      <c r="H105" s="2434">
        <v>0</v>
      </c>
      <c r="I105" s="2434">
        <v>0</v>
      </c>
      <c r="J105" s="965"/>
      <c r="K105" s="965"/>
      <c r="L105" s="965"/>
      <c r="M105" s="695" t="s">
        <v>61</v>
      </c>
      <c r="N105" s="3443"/>
    </row>
    <row r="106" spans="1:14" s="371" customFormat="1" ht="13.5" customHeight="1" thickBot="1">
      <c r="A106" s="3545"/>
      <c r="B106" s="2435" t="s">
        <v>126</v>
      </c>
      <c r="C106" s="3550"/>
      <c r="D106" s="280">
        <f>E106+F106+G106+H106+I106+J106+K106+L106</f>
        <v>300000</v>
      </c>
      <c r="E106" s="628">
        <v>0</v>
      </c>
      <c r="F106" s="2438">
        <v>50000</v>
      </c>
      <c r="G106" s="2438">
        <v>250000</v>
      </c>
      <c r="H106" s="2438"/>
      <c r="I106" s="2438"/>
      <c r="J106" s="2438"/>
      <c r="K106" s="2438"/>
      <c r="L106" s="2438"/>
      <c r="M106" s="2439">
        <f>SUM(F106:L106)</f>
        <v>300000</v>
      </c>
      <c r="N106" s="3443"/>
    </row>
    <row r="107" spans="1:14" s="371" customFormat="1" ht="13.5" hidden="1" customHeight="1">
      <c r="A107" s="3545"/>
      <c r="B107" s="2440" t="s">
        <v>18</v>
      </c>
      <c r="C107" s="3551" t="s">
        <v>23</v>
      </c>
      <c r="D107" s="2441">
        <f>+D108</f>
        <v>0</v>
      </c>
      <c r="E107" s="1971">
        <f t="shared" ref="E107:M107" si="73">+E108</f>
        <v>0</v>
      </c>
      <c r="F107" s="2441">
        <f t="shared" si="73"/>
        <v>0</v>
      </c>
      <c r="G107" s="2441">
        <f t="shared" si="73"/>
        <v>0</v>
      </c>
      <c r="H107" s="2441">
        <f t="shared" si="73"/>
        <v>0</v>
      </c>
      <c r="I107" s="2441">
        <f t="shared" si="73"/>
        <v>0</v>
      </c>
      <c r="J107" s="2441">
        <f t="shared" si="73"/>
        <v>0</v>
      </c>
      <c r="K107" s="2441">
        <f t="shared" si="73"/>
        <v>0</v>
      </c>
      <c r="L107" s="1894"/>
      <c r="M107" s="1895" t="str">
        <f t="shared" si="73"/>
        <v>x</v>
      </c>
      <c r="N107" s="3443"/>
    </row>
    <row r="108" spans="1:14" s="371" customFormat="1" ht="13.5" hidden="1" customHeight="1">
      <c r="A108" s="3545"/>
      <c r="B108" s="2435" t="s">
        <v>35</v>
      </c>
      <c r="C108" s="3552"/>
      <c r="D108" s="280">
        <f>E108+F108+G108+H108+I108+J108+K108+L108</f>
        <v>0</v>
      </c>
      <c r="E108" s="1975"/>
      <c r="F108" s="2437">
        <v>0</v>
      </c>
      <c r="G108" s="2437">
        <v>0</v>
      </c>
      <c r="H108" s="2437"/>
      <c r="I108" s="2437"/>
      <c r="J108" s="967"/>
      <c r="K108" s="967"/>
      <c r="L108" s="967"/>
      <c r="M108" s="1896" t="s">
        <v>61</v>
      </c>
      <c r="N108" s="3443"/>
    </row>
    <row r="109" spans="1:14" s="371" customFormat="1" ht="13.5" hidden="1" customHeight="1">
      <c r="A109" s="3545"/>
      <c r="B109" s="2012" t="s">
        <v>22</v>
      </c>
      <c r="C109" s="2443"/>
      <c r="D109" s="2444">
        <f>D112+D110</f>
        <v>0</v>
      </c>
      <c r="E109" s="1972">
        <f>E112+E110</f>
        <v>0</v>
      </c>
      <c r="F109" s="2444">
        <f t="shared" ref="F109:G109" si="74">F112+F110</f>
        <v>0</v>
      </c>
      <c r="G109" s="2444">
        <f t="shared" si="74"/>
        <v>0</v>
      </c>
      <c r="H109" s="2444">
        <f>H112+H110</f>
        <v>0</v>
      </c>
      <c r="I109" s="2444">
        <f>I112+I110</f>
        <v>0</v>
      </c>
      <c r="J109" s="2444">
        <f t="shared" ref="J109:K109" si="75">J112+J110</f>
        <v>0</v>
      </c>
      <c r="K109" s="2444">
        <f t="shared" si="75"/>
        <v>0</v>
      </c>
      <c r="L109" s="2444"/>
      <c r="M109" s="3553" t="s">
        <v>61</v>
      </c>
      <c r="N109" s="3443"/>
    </row>
    <row r="110" spans="1:14" s="371" customFormat="1" ht="13.5" hidden="1" customHeight="1">
      <c r="A110" s="3545"/>
      <c r="B110" s="2445" t="s">
        <v>24</v>
      </c>
      <c r="C110" s="3548" t="s">
        <v>436</v>
      </c>
      <c r="D110" s="2446">
        <f>+D111</f>
        <v>0</v>
      </c>
      <c r="E110" s="2447">
        <f t="shared" ref="E110:K110" si="76">+E111</f>
        <v>0</v>
      </c>
      <c r="F110" s="2446">
        <f t="shared" si="76"/>
        <v>0</v>
      </c>
      <c r="G110" s="2446">
        <f t="shared" si="76"/>
        <v>0</v>
      </c>
      <c r="H110" s="2446">
        <f t="shared" si="76"/>
        <v>0</v>
      </c>
      <c r="I110" s="2446">
        <f t="shared" si="76"/>
        <v>0</v>
      </c>
      <c r="J110" s="2446">
        <f t="shared" si="76"/>
        <v>0</v>
      </c>
      <c r="K110" s="2446">
        <f t="shared" si="76"/>
        <v>0</v>
      </c>
      <c r="L110" s="2446"/>
      <c r="M110" s="3554"/>
      <c r="N110" s="3443"/>
    </row>
    <row r="111" spans="1:14" s="371" customFormat="1" ht="13.5" hidden="1" customHeight="1">
      <c r="A111" s="3545"/>
      <c r="B111" s="2435" t="s">
        <v>144</v>
      </c>
      <c r="C111" s="3549"/>
      <c r="D111" s="280">
        <f>E111+F111+G111+H111+I111+J111+K111+L111</f>
        <v>0</v>
      </c>
      <c r="E111" s="1975"/>
      <c r="F111" s="2438"/>
      <c r="G111" s="2438"/>
      <c r="H111" s="2438"/>
      <c r="I111" s="2438"/>
      <c r="J111" s="2438"/>
      <c r="K111" s="2438"/>
      <c r="L111" s="2438"/>
      <c r="M111" s="3554"/>
      <c r="N111" s="3443"/>
    </row>
    <row r="112" spans="1:14" s="371" customFormat="1" ht="13.5" hidden="1" customHeight="1">
      <c r="A112" s="3545"/>
      <c r="B112" s="2440" t="s">
        <v>18</v>
      </c>
      <c r="C112" s="3551" t="s">
        <v>23</v>
      </c>
      <c r="D112" s="2441">
        <f>+D113</f>
        <v>0</v>
      </c>
      <c r="E112" s="1971">
        <f t="shared" ref="E112:K112" si="77">+E113</f>
        <v>0</v>
      </c>
      <c r="F112" s="2441">
        <f t="shared" si="77"/>
        <v>0</v>
      </c>
      <c r="G112" s="2441">
        <f t="shared" si="77"/>
        <v>0</v>
      </c>
      <c r="H112" s="2441">
        <f t="shared" si="77"/>
        <v>0</v>
      </c>
      <c r="I112" s="2441">
        <f t="shared" si="77"/>
        <v>0</v>
      </c>
      <c r="J112" s="2441">
        <f t="shared" si="77"/>
        <v>0</v>
      </c>
      <c r="K112" s="2441">
        <f t="shared" si="77"/>
        <v>0</v>
      </c>
      <c r="L112" s="2441"/>
      <c r="M112" s="3554"/>
      <c r="N112" s="3443"/>
    </row>
    <row r="113" spans="1:75" s="371" customFormat="1" ht="13.5" hidden="1" customHeight="1" thickBot="1">
      <c r="A113" s="3546"/>
      <c r="B113" s="711" t="s">
        <v>35</v>
      </c>
      <c r="C113" s="3556"/>
      <c r="D113" s="280">
        <f>E113+F113+G113+H113+I113+J113+K113+L113</f>
        <v>0</v>
      </c>
      <c r="E113" s="1921"/>
      <c r="F113" s="700">
        <v>0</v>
      </c>
      <c r="G113" s="700">
        <v>0</v>
      </c>
      <c r="H113" s="700"/>
      <c r="I113" s="700"/>
      <c r="J113" s="700"/>
      <c r="K113" s="700"/>
      <c r="L113" s="700"/>
      <c r="M113" s="3555"/>
      <c r="N113" s="3444"/>
    </row>
    <row r="114" spans="1:75" ht="18" customHeight="1">
      <c r="A114" s="2721" t="s">
        <v>248</v>
      </c>
      <c r="B114" s="726"/>
      <c r="C114" s="726"/>
      <c r="D114" s="726"/>
      <c r="E114" s="726"/>
      <c r="F114" s="726"/>
      <c r="G114" s="726"/>
      <c r="H114" s="726"/>
      <c r="I114" s="726"/>
      <c r="J114" s="726"/>
      <c r="K114" s="726"/>
      <c r="L114" s="726"/>
      <c r="M114" s="726"/>
      <c r="N114" s="2722"/>
      <c r="O114" s="371"/>
      <c r="P114" s="371"/>
      <c r="Q114" s="371"/>
      <c r="R114" s="371"/>
      <c r="S114" s="371"/>
      <c r="T114" s="371"/>
      <c r="U114" s="371"/>
      <c r="V114" s="371"/>
      <c r="W114" s="371"/>
      <c r="X114" s="371"/>
      <c r="Y114" s="371"/>
      <c r="Z114" s="371"/>
      <c r="AA114" s="371"/>
      <c r="AB114" s="371"/>
      <c r="AC114" s="371"/>
      <c r="AD114" s="371"/>
      <c r="AE114" s="371"/>
      <c r="AF114" s="371"/>
      <c r="AG114" s="371"/>
      <c r="AH114" s="371"/>
      <c r="AI114" s="371"/>
      <c r="AJ114" s="371"/>
      <c r="AK114" s="371"/>
      <c r="AL114" s="371"/>
      <c r="AM114" s="371"/>
      <c r="AN114" s="371"/>
      <c r="AO114" s="371"/>
      <c r="AP114" s="371"/>
      <c r="AQ114" s="371"/>
      <c r="AR114" s="371"/>
      <c r="AS114" s="371"/>
      <c r="AT114" s="371"/>
      <c r="AU114" s="371"/>
      <c r="AV114" s="371"/>
      <c r="AW114" s="371"/>
      <c r="AX114" s="371"/>
      <c r="AY114" s="371"/>
      <c r="AZ114" s="371"/>
      <c r="BA114" s="371"/>
      <c r="BB114" s="371"/>
      <c r="BC114" s="371"/>
      <c r="BD114" s="371"/>
      <c r="BE114" s="371"/>
      <c r="BF114" s="371"/>
      <c r="BG114" s="371"/>
      <c r="BH114" s="371"/>
      <c r="BI114" s="371"/>
      <c r="BJ114" s="371"/>
      <c r="BK114" s="371"/>
      <c r="BL114" s="371"/>
      <c r="BM114" s="371"/>
      <c r="BN114" s="371"/>
      <c r="BO114" s="371"/>
      <c r="BP114" s="371"/>
      <c r="BQ114" s="371"/>
      <c r="BR114" s="371"/>
      <c r="BS114" s="371"/>
      <c r="BT114" s="371"/>
      <c r="BU114" s="371"/>
      <c r="BV114" s="371"/>
      <c r="BW114" s="371"/>
    </row>
    <row r="115" spans="1:75">
      <c r="N115" s="2742"/>
    </row>
    <row r="116" spans="1:75">
      <c r="N116" s="2742"/>
    </row>
    <row r="117" spans="1:75">
      <c r="N117" s="2742"/>
    </row>
    <row r="118" spans="1:75">
      <c r="N118" s="2742"/>
    </row>
    <row r="119" spans="1:75">
      <c r="N119" s="2742"/>
    </row>
    <row r="120" spans="1:75">
      <c r="N120" s="2742"/>
    </row>
    <row r="121" spans="1:75">
      <c r="N121" s="2742"/>
    </row>
    <row r="122" spans="1:75">
      <c r="N122" s="2742"/>
    </row>
    <row r="123" spans="1:75">
      <c r="N123" s="2742"/>
    </row>
    <row r="124" spans="1:75">
      <c r="N124" s="2742"/>
    </row>
    <row r="125" spans="1:75">
      <c r="N125" s="2742"/>
    </row>
    <row r="126" spans="1:75">
      <c r="N126" s="2742"/>
    </row>
    <row r="127" spans="1:75">
      <c r="N127" s="2742"/>
    </row>
    <row r="128" spans="1:75">
      <c r="N128" s="2742"/>
    </row>
    <row r="129" spans="14:14">
      <c r="N129" s="2742"/>
    </row>
    <row r="130" spans="14:14">
      <c r="N130" s="2742"/>
    </row>
    <row r="131" spans="14:14">
      <c r="N131" s="2742"/>
    </row>
    <row r="132" spans="14:14">
      <c r="N132" s="2742"/>
    </row>
    <row r="133" spans="14:14">
      <c r="N133" s="2742"/>
    </row>
    <row r="134" spans="14:14">
      <c r="N134" s="2742"/>
    </row>
    <row r="135" spans="14:14">
      <c r="N135" s="2742"/>
    </row>
    <row r="136" spans="14:14">
      <c r="N136" s="2742"/>
    </row>
    <row r="137" spans="14:14">
      <c r="N137" s="2742"/>
    </row>
    <row r="138" spans="14:14">
      <c r="N138" s="2742"/>
    </row>
    <row r="139" spans="14:14">
      <c r="N139" s="2742"/>
    </row>
    <row r="140" spans="14:14">
      <c r="N140" s="2742"/>
    </row>
    <row r="141" spans="14:14">
      <c r="N141" s="2742"/>
    </row>
    <row r="142" spans="14:14">
      <c r="N142" s="2742"/>
    </row>
    <row r="143" spans="14:14">
      <c r="N143" s="2742"/>
    </row>
    <row r="144" spans="14:14">
      <c r="N144" s="2742"/>
    </row>
    <row r="145" spans="14:14">
      <c r="N145" s="2742"/>
    </row>
    <row r="146" spans="14:14">
      <c r="N146" s="2742"/>
    </row>
    <row r="147" spans="14:14">
      <c r="N147" s="2742"/>
    </row>
    <row r="148" spans="14:14">
      <c r="N148" s="2742"/>
    </row>
    <row r="149" spans="14:14">
      <c r="N149" s="2742"/>
    </row>
    <row r="150" spans="14:14">
      <c r="N150" s="2742"/>
    </row>
    <row r="151" spans="14:14">
      <c r="N151" s="2742"/>
    </row>
    <row r="152" spans="14:14">
      <c r="N152" s="2742"/>
    </row>
    <row r="153" spans="14:14">
      <c r="N153" s="2742"/>
    </row>
    <row r="154" spans="14:14">
      <c r="N154" s="2742"/>
    </row>
    <row r="155" spans="14:14">
      <c r="N155" s="2742"/>
    </row>
    <row r="156" spans="14:14">
      <c r="N156" s="2742"/>
    </row>
    <row r="157" spans="14:14">
      <c r="N157" s="2742"/>
    </row>
    <row r="158" spans="14:14">
      <c r="N158" s="2742"/>
    </row>
    <row r="159" spans="14:14">
      <c r="N159" s="2742"/>
    </row>
    <row r="160" spans="14:14">
      <c r="N160" s="2742"/>
    </row>
    <row r="161" spans="14:14">
      <c r="N161" s="2742"/>
    </row>
    <row r="162" spans="14:14">
      <c r="N162" s="2742"/>
    </row>
    <row r="163" spans="14:14">
      <c r="N163" s="2742"/>
    </row>
    <row r="164" spans="14:14">
      <c r="N164" s="2742"/>
    </row>
    <row r="165" spans="14:14">
      <c r="N165" s="2742"/>
    </row>
    <row r="166" spans="14:14">
      <c r="N166" s="2742"/>
    </row>
    <row r="167" spans="14:14">
      <c r="N167" s="2742"/>
    </row>
    <row r="168" spans="14:14">
      <c r="N168" s="2742"/>
    </row>
    <row r="169" spans="14:14">
      <c r="N169" s="2742"/>
    </row>
    <row r="170" spans="14:14">
      <c r="N170" s="2742"/>
    </row>
    <row r="171" spans="14:14">
      <c r="N171" s="2742"/>
    </row>
    <row r="172" spans="14:14">
      <c r="N172" s="2742"/>
    </row>
    <row r="173" spans="14:14">
      <c r="N173" s="2742"/>
    </row>
    <row r="174" spans="14:14">
      <c r="N174" s="2742"/>
    </row>
    <row r="175" spans="14:14">
      <c r="N175" s="2742"/>
    </row>
    <row r="176" spans="14:14">
      <c r="N176" s="2742"/>
    </row>
    <row r="177" spans="14:14">
      <c r="N177" s="2742"/>
    </row>
    <row r="178" spans="14:14">
      <c r="N178" s="2742"/>
    </row>
    <row r="179" spans="14:14">
      <c r="N179" s="2742"/>
    </row>
    <row r="180" spans="14:14">
      <c r="N180" s="2742"/>
    </row>
    <row r="181" spans="14:14">
      <c r="N181" s="2742"/>
    </row>
    <row r="182" spans="14:14">
      <c r="N182" s="2742"/>
    </row>
    <row r="183" spans="14:14">
      <c r="N183" s="2742"/>
    </row>
    <row r="184" spans="14:14">
      <c r="N184" s="2742"/>
    </row>
    <row r="185" spans="14:14">
      <c r="N185" s="2742"/>
    </row>
    <row r="186" spans="14:14">
      <c r="N186" s="2742"/>
    </row>
    <row r="187" spans="14:14">
      <c r="N187" s="2742"/>
    </row>
    <row r="188" spans="14:14">
      <c r="N188" s="2742"/>
    </row>
    <row r="189" spans="14:14">
      <c r="N189" s="2742"/>
    </row>
    <row r="190" spans="14:14">
      <c r="N190" s="2742"/>
    </row>
    <row r="191" spans="14:14">
      <c r="N191" s="2742"/>
    </row>
    <row r="192" spans="14:14">
      <c r="N192" s="2742"/>
    </row>
    <row r="193" spans="14:14">
      <c r="N193" s="2742"/>
    </row>
    <row r="194" spans="14:14">
      <c r="N194" s="2742"/>
    </row>
    <row r="195" spans="14:14">
      <c r="N195" s="2742"/>
    </row>
    <row r="196" spans="14:14">
      <c r="N196" s="2742"/>
    </row>
    <row r="197" spans="14:14">
      <c r="N197" s="2742"/>
    </row>
    <row r="198" spans="14:14">
      <c r="N198" s="2742"/>
    </row>
    <row r="199" spans="14:14">
      <c r="N199" s="2742"/>
    </row>
    <row r="200" spans="14:14">
      <c r="N200" s="2742"/>
    </row>
    <row r="201" spans="14:14">
      <c r="N201" s="2742"/>
    </row>
    <row r="202" spans="14:14">
      <c r="N202" s="2742"/>
    </row>
    <row r="203" spans="14:14">
      <c r="N203" s="2742"/>
    </row>
    <row r="204" spans="14:14">
      <c r="N204" s="2742"/>
    </row>
    <row r="205" spans="14:14">
      <c r="N205" s="2742"/>
    </row>
    <row r="206" spans="14:14">
      <c r="N206" s="2742"/>
    </row>
    <row r="207" spans="14:14">
      <c r="N207" s="2742"/>
    </row>
    <row r="208" spans="14:14">
      <c r="N208" s="2742"/>
    </row>
    <row r="209" spans="14:14">
      <c r="N209" s="2742"/>
    </row>
    <row r="210" spans="14:14">
      <c r="N210" s="2742"/>
    </row>
    <row r="211" spans="14:14">
      <c r="N211" s="2742"/>
    </row>
    <row r="212" spans="14:14">
      <c r="N212" s="2742"/>
    </row>
    <row r="213" spans="14:14">
      <c r="N213" s="2742"/>
    </row>
    <row r="214" spans="14:14">
      <c r="N214" s="2742"/>
    </row>
    <row r="215" spans="14:14">
      <c r="N215" s="2742"/>
    </row>
    <row r="216" spans="14:14">
      <c r="N216" s="2742"/>
    </row>
    <row r="217" spans="14:14">
      <c r="N217" s="2742"/>
    </row>
    <row r="218" spans="14:14">
      <c r="N218" s="2742"/>
    </row>
    <row r="219" spans="14:14">
      <c r="N219" s="2742"/>
    </row>
    <row r="220" spans="14:14">
      <c r="N220" s="2742"/>
    </row>
    <row r="221" spans="14:14">
      <c r="N221" s="2742"/>
    </row>
    <row r="222" spans="14:14">
      <c r="N222" s="2742"/>
    </row>
    <row r="223" spans="14:14">
      <c r="N223" s="2742"/>
    </row>
    <row r="224" spans="14:14">
      <c r="N224" s="2742"/>
    </row>
    <row r="225" spans="14:14">
      <c r="N225" s="2742"/>
    </row>
    <row r="226" spans="14:14">
      <c r="N226" s="2742"/>
    </row>
    <row r="227" spans="14:14">
      <c r="N227" s="2742"/>
    </row>
    <row r="228" spans="14:14">
      <c r="N228" s="2742"/>
    </row>
    <row r="229" spans="14:14">
      <c r="N229" s="2742"/>
    </row>
    <row r="230" spans="14:14">
      <c r="N230" s="2742"/>
    </row>
    <row r="231" spans="14:14">
      <c r="N231" s="2742"/>
    </row>
    <row r="232" spans="14:14">
      <c r="N232" s="2742"/>
    </row>
    <row r="233" spans="14:14">
      <c r="N233" s="2742"/>
    </row>
    <row r="234" spans="14:14">
      <c r="N234" s="2742"/>
    </row>
    <row r="235" spans="14:14">
      <c r="N235" s="2742"/>
    </row>
    <row r="236" spans="14:14">
      <c r="N236" s="2742"/>
    </row>
    <row r="237" spans="14:14">
      <c r="N237" s="2742"/>
    </row>
    <row r="238" spans="14:14">
      <c r="N238" s="2742"/>
    </row>
    <row r="239" spans="14:14">
      <c r="N239" s="2742"/>
    </row>
    <row r="240" spans="14:14">
      <c r="N240" s="2742"/>
    </row>
    <row r="241" spans="14:14">
      <c r="N241" s="2742"/>
    </row>
    <row r="446" spans="1:14" ht="12" thickBot="1"/>
    <row r="447" spans="1:14" ht="33.75">
      <c r="A447" s="725"/>
      <c r="B447" s="452" t="s">
        <v>69</v>
      </c>
      <c r="C447" s="452"/>
      <c r="D447" s="726"/>
      <c r="E447" s="727"/>
      <c r="F447" s="727"/>
      <c r="G447" s="727"/>
      <c r="H447" s="727"/>
      <c r="I447" s="727"/>
      <c r="J447" s="727"/>
      <c r="K447" s="727"/>
      <c r="L447" s="727"/>
      <c r="M447" s="727"/>
      <c r="N447" s="728"/>
    </row>
    <row r="448" spans="1:14">
      <c r="A448" s="729"/>
      <c r="E448" s="663"/>
      <c r="F448" s="663"/>
      <c r="G448" s="663"/>
      <c r="H448" s="663"/>
      <c r="I448" s="663"/>
      <c r="J448" s="663"/>
      <c r="K448" s="663"/>
      <c r="L448" s="663"/>
      <c r="M448" s="663"/>
      <c r="N448" s="730"/>
    </row>
    <row r="449" spans="1:14">
      <c r="A449" s="729"/>
      <c r="E449" s="663"/>
      <c r="F449" s="663"/>
      <c r="G449" s="663"/>
      <c r="H449" s="663"/>
      <c r="I449" s="663"/>
      <c r="J449" s="663"/>
      <c r="K449" s="663"/>
      <c r="L449" s="663"/>
      <c r="M449" s="663"/>
      <c r="N449" s="730"/>
    </row>
    <row r="450" spans="1:14">
      <c r="A450" s="729"/>
      <c r="E450" s="663"/>
      <c r="F450" s="663"/>
      <c r="G450" s="663"/>
      <c r="H450" s="663"/>
      <c r="I450" s="663"/>
      <c r="J450" s="663"/>
      <c r="K450" s="663"/>
      <c r="L450" s="663"/>
      <c r="M450" s="663"/>
      <c r="N450" s="730"/>
    </row>
    <row r="451" spans="1:14">
      <c r="A451" s="729"/>
      <c r="E451" s="663"/>
      <c r="F451" s="663"/>
      <c r="G451" s="663"/>
      <c r="H451" s="663"/>
      <c r="I451" s="663"/>
      <c r="J451" s="663"/>
      <c r="K451" s="663"/>
      <c r="L451" s="663"/>
      <c r="M451" s="663"/>
      <c r="N451" s="730"/>
    </row>
    <row r="452" spans="1:14">
      <c r="A452" s="729"/>
      <c r="E452" s="663"/>
      <c r="F452" s="663"/>
      <c r="G452" s="663"/>
      <c r="H452" s="663"/>
      <c r="I452" s="663"/>
      <c r="J452" s="663"/>
      <c r="K452" s="663"/>
      <c r="L452" s="663"/>
      <c r="M452" s="663"/>
      <c r="N452" s="730"/>
    </row>
    <row r="453" spans="1:14">
      <c r="A453" s="729"/>
      <c r="E453" s="663"/>
      <c r="F453" s="663"/>
      <c r="G453" s="663"/>
      <c r="H453" s="663"/>
      <c r="I453" s="663"/>
      <c r="J453" s="663"/>
      <c r="K453" s="663"/>
      <c r="L453" s="663"/>
      <c r="M453" s="663"/>
      <c r="N453" s="730"/>
    </row>
    <row r="454" spans="1:14">
      <c r="A454" s="729"/>
      <c r="E454" s="663"/>
      <c r="F454" s="663"/>
      <c r="G454" s="663"/>
      <c r="H454" s="663"/>
      <c r="I454" s="663"/>
      <c r="J454" s="663"/>
      <c r="K454" s="663"/>
      <c r="L454" s="663"/>
      <c r="M454" s="663"/>
      <c r="N454" s="730"/>
    </row>
    <row r="455" spans="1:14">
      <c r="A455" s="729"/>
      <c r="E455" s="663"/>
      <c r="F455" s="663"/>
      <c r="G455" s="663"/>
      <c r="H455" s="663"/>
      <c r="I455" s="663"/>
      <c r="J455" s="663"/>
      <c r="K455" s="663"/>
      <c r="L455" s="663"/>
      <c r="M455" s="663"/>
      <c r="N455" s="730"/>
    </row>
    <row r="456" spans="1:14">
      <c r="A456" s="729"/>
      <c r="E456" s="663"/>
      <c r="F456" s="663"/>
      <c r="G456" s="663"/>
      <c r="H456" s="663"/>
      <c r="I456" s="663"/>
      <c r="J456" s="663"/>
      <c r="K456" s="663"/>
      <c r="L456" s="663"/>
      <c r="M456" s="663"/>
      <c r="N456" s="730"/>
    </row>
    <row r="457" spans="1:14">
      <c r="A457" s="729"/>
      <c r="E457" s="663"/>
      <c r="F457" s="663"/>
      <c r="G457" s="663"/>
      <c r="H457" s="663"/>
      <c r="I457" s="663"/>
      <c r="J457" s="663"/>
      <c r="K457" s="663"/>
      <c r="L457" s="663"/>
      <c r="M457" s="663"/>
      <c r="N457" s="730"/>
    </row>
    <row r="458" spans="1:14" ht="12" thickBot="1">
      <c r="A458" s="731"/>
      <c r="B458" s="732"/>
      <c r="C458" s="732"/>
      <c r="D458" s="732"/>
      <c r="E458" s="733"/>
      <c r="F458" s="733"/>
      <c r="G458" s="733"/>
      <c r="H458" s="733"/>
      <c r="I458" s="733"/>
      <c r="J458" s="733"/>
      <c r="K458" s="733"/>
      <c r="L458" s="733"/>
      <c r="M458" s="733"/>
      <c r="N458" s="734"/>
    </row>
  </sheetData>
  <mergeCells count="63">
    <mergeCell ref="B4:B5"/>
    <mergeCell ref="C4:C5"/>
    <mergeCell ref="D4:D5"/>
    <mergeCell ref="N4:N5"/>
    <mergeCell ref="N10:N20"/>
    <mergeCell ref="C11:C15"/>
    <mergeCell ref="C17:C20"/>
    <mergeCell ref="M4:M5"/>
    <mergeCell ref="M16:M20"/>
    <mergeCell ref="F4:L4"/>
    <mergeCell ref="N21:N29"/>
    <mergeCell ref="A30:A41"/>
    <mergeCell ref="N30:N41"/>
    <mergeCell ref="C35:C36"/>
    <mergeCell ref="C38:C39"/>
    <mergeCell ref="C40:C41"/>
    <mergeCell ref="M37:M41"/>
    <mergeCell ref="A21:A29"/>
    <mergeCell ref="M27:M29"/>
    <mergeCell ref="C32:C34"/>
    <mergeCell ref="C23:C29"/>
    <mergeCell ref="A42:A53"/>
    <mergeCell ref="N42:N53"/>
    <mergeCell ref="C44:C45"/>
    <mergeCell ref="C46:C48"/>
    <mergeCell ref="C50:C51"/>
    <mergeCell ref="C52:C53"/>
    <mergeCell ref="M49:M53"/>
    <mergeCell ref="A54:A65"/>
    <mergeCell ref="N54:N65"/>
    <mergeCell ref="C56:C57"/>
    <mergeCell ref="C59:C60"/>
    <mergeCell ref="C62:C63"/>
    <mergeCell ref="C64:C65"/>
    <mergeCell ref="M61:M65"/>
    <mergeCell ref="A66:A77"/>
    <mergeCell ref="N66:N77"/>
    <mergeCell ref="C68:C69"/>
    <mergeCell ref="C71:C72"/>
    <mergeCell ref="C74:C75"/>
    <mergeCell ref="C76:C77"/>
    <mergeCell ref="M73:M77"/>
    <mergeCell ref="A78:A89"/>
    <mergeCell ref="N78:N89"/>
    <mergeCell ref="C80:C82"/>
    <mergeCell ref="C83:C84"/>
    <mergeCell ref="C86:C87"/>
    <mergeCell ref="C88:C89"/>
    <mergeCell ref="M85:M89"/>
    <mergeCell ref="A90:A101"/>
    <mergeCell ref="N90:N101"/>
    <mergeCell ref="C92:C94"/>
    <mergeCell ref="C95:C96"/>
    <mergeCell ref="M97:M101"/>
    <mergeCell ref="C98:C99"/>
    <mergeCell ref="C100:C101"/>
    <mergeCell ref="A102:A113"/>
    <mergeCell ref="N102:N113"/>
    <mergeCell ref="C104:C106"/>
    <mergeCell ref="C107:C108"/>
    <mergeCell ref="M109:M113"/>
    <mergeCell ref="C110:C111"/>
    <mergeCell ref="C112:C113"/>
  </mergeCells>
  <printOptions horizontalCentered="1"/>
  <pageMargins left="0.15748031496062992" right="0.15748031496062992" top="0.47244094488188981" bottom="0.39370078740157483" header="0.15748031496062992" footer="0.15748031496062992"/>
  <pageSetup paperSize="9" scale="69" firstPageNumber="46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______________________________________________________________________________________________________________________________________</oddHeader>
    <oddFooter>&amp;C&amp;8&amp;P</oddFooter>
  </headerFooter>
  <rowBreaks count="1" manualBreakCount="1">
    <brk id="114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M221"/>
  <sheetViews>
    <sheetView showGridLines="0" view="pageBreakPreview" zoomScaleNormal="100" zoomScaleSheetLayoutView="100" workbookViewId="0">
      <pane xSplit="3" ySplit="7" topLeftCell="D8" activePane="bottomRight" state="frozen"/>
      <selection activeCell="J81" sqref="J81"/>
      <selection pane="topRight" activeCell="J81" sqref="J81"/>
      <selection pane="bottomLeft" activeCell="J81" sqref="J81"/>
      <selection pane="bottomRight"/>
    </sheetView>
  </sheetViews>
  <sheetFormatPr defaultColWidth="9.140625" defaultRowHeight="12" outlineLevelRow="1"/>
  <cols>
    <col min="1" max="1" width="3.7109375" style="653" customWidth="1"/>
    <col min="2" max="2" width="59" style="372" customWidth="1"/>
    <col min="3" max="3" width="9.7109375" style="372" customWidth="1"/>
    <col min="4" max="4" width="14.140625" style="372" customWidth="1"/>
    <col min="5" max="5" width="12.5703125" style="372" customWidth="1"/>
    <col min="6" max="12" width="10.85546875" style="372" customWidth="1"/>
    <col min="13" max="13" width="11.7109375" style="372" customWidth="1"/>
    <col min="14" max="14" width="15.7109375" style="657" customWidth="1"/>
    <col min="15" max="15" width="15.140625" style="372" hidden="1" customWidth="1"/>
    <col min="16" max="16" width="11.7109375" style="372" hidden="1" customWidth="1"/>
    <col min="17" max="16384" width="9.140625" style="372"/>
  </cols>
  <sheetData>
    <row r="1" spans="1:65" ht="16.5" customHeight="1">
      <c r="F1" s="3644"/>
      <c r="G1" s="3644"/>
      <c r="H1" s="368" t="s">
        <v>342</v>
      </c>
      <c r="I1" s="364"/>
      <c r="J1" s="364"/>
      <c r="K1" s="364"/>
      <c r="L1" s="364"/>
      <c r="M1" s="6"/>
      <c r="N1" s="7"/>
    </row>
    <row r="2" spans="1:65" ht="15" hidden="1" customHeight="1">
      <c r="F2" s="367"/>
      <c r="G2" s="367"/>
      <c r="H2" s="367"/>
      <c r="I2" s="367"/>
      <c r="J2" s="367"/>
      <c r="K2" s="367"/>
      <c r="L2" s="367"/>
      <c r="M2" s="6"/>
      <c r="N2" s="7"/>
    </row>
    <row r="3" spans="1:65" ht="9" customHeight="1">
      <c r="D3" s="654"/>
      <c r="F3" s="369"/>
      <c r="G3" s="369"/>
      <c r="H3" s="369"/>
      <c r="I3" s="369"/>
      <c r="J3" s="369"/>
      <c r="K3" s="369"/>
      <c r="L3" s="369"/>
      <c r="M3" s="6"/>
      <c r="N3" s="7"/>
    </row>
    <row r="4" spans="1:65" s="656" customFormat="1" ht="40.5" customHeight="1" thickBot="1">
      <c r="A4" s="3645" t="s">
        <v>255</v>
      </c>
      <c r="B4" s="3645"/>
      <c r="C4" s="3645"/>
      <c r="D4" s="3645"/>
      <c r="E4" s="3645"/>
      <c r="F4" s="3645"/>
      <c r="G4" s="3645"/>
      <c r="H4" s="3645"/>
      <c r="I4" s="3645"/>
      <c r="J4" s="3645"/>
      <c r="K4" s="3645"/>
      <c r="L4" s="3645"/>
      <c r="M4" s="3645"/>
      <c r="N4" s="364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5"/>
      <c r="AI4" s="655"/>
      <c r="AJ4" s="655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</row>
    <row r="5" spans="1:65" ht="72" customHeight="1">
      <c r="A5" s="1400"/>
      <c r="B5" s="3461" t="s">
        <v>75</v>
      </c>
      <c r="C5" s="3647" t="s">
        <v>71</v>
      </c>
      <c r="D5" s="3649" t="s">
        <v>72</v>
      </c>
      <c r="E5" s="2723" t="s">
        <v>295</v>
      </c>
      <c r="F5" s="3510" t="s">
        <v>415</v>
      </c>
      <c r="G5" s="3230"/>
      <c r="H5" s="3230"/>
      <c r="I5" s="3230"/>
      <c r="J5" s="3230"/>
      <c r="K5" s="3230"/>
      <c r="L5" s="3231"/>
      <c r="M5" s="3583" t="s">
        <v>410</v>
      </c>
      <c r="N5" s="3651" t="s">
        <v>73</v>
      </c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1"/>
      <c r="BI5" s="371"/>
      <c r="BJ5" s="371"/>
      <c r="BK5" s="371"/>
      <c r="BL5" s="371"/>
      <c r="BM5" s="371"/>
    </row>
    <row r="6" spans="1:65" ht="21" customHeight="1">
      <c r="A6" s="969"/>
      <c r="B6" s="3646"/>
      <c r="C6" s="3648"/>
      <c r="D6" s="3650"/>
      <c r="E6" s="2748" t="s">
        <v>555</v>
      </c>
      <c r="F6" s="970" t="s">
        <v>5</v>
      </c>
      <c r="G6" s="970" t="s">
        <v>6</v>
      </c>
      <c r="H6" s="970" t="s">
        <v>229</v>
      </c>
      <c r="I6" s="970" t="s">
        <v>231</v>
      </c>
      <c r="J6" s="970" t="s">
        <v>286</v>
      </c>
      <c r="K6" s="970" t="s">
        <v>287</v>
      </c>
      <c r="L6" s="970" t="s">
        <v>285</v>
      </c>
      <c r="M6" s="3653"/>
      <c r="N6" s="3652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</row>
    <row r="7" spans="1:65" ht="11.25">
      <c r="A7" s="1465">
        <v>1</v>
      </c>
      <c r="B7" s="1466">
        <v>2</v>
      </c>
      <c r="C7" s="1467" t="s">
        <v>121</v>
      </c>
      <c r="D7" s="1467" t="s">
        <v>122</v>
      </c>
      <c r="E7" s="1467">
        <v>5</v>
      </c>
      <c r="F7" s="1467">
        <v>6</v>
      </c>
      <c r="G7" s="1467">
        <v>7</v>
      </c>
      <c r="H7" s="1467">
        <v>8</v>
      </c>
      <c r="I7" s="1467">
        <v>9</v>
      </c>
      <c r="J7" s="1467">
        <v>10</v>
      </c>
      <c r="K7" s="1467">
        <v>11</v>
      </c>
      <c r="L7" s="1467">
        <v>12</v>
      </c>
      <c r="M7" s="1468">
        <v>13</v>
      </c>
      <c r="N7" s="1469">
        <v>14</v>
      </c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</row>
    <row r="8" spans="1:65" s="2737" customFormat="1" ht="16.5" customHeight="1">
      <c r="A8" s="2095"/>
      <c r="B8" s="971" t="s">
        <v>76</v>
      </c>
      <c r="C8" s="250"/>
      <c r="D8" s="251">
        <f>+D9+D10</f>
        <v>44879279</v>
      </c>
      <c r="E8" s="251">
        <f>+E9+E10</f>
        <v>14942862</v>
      </c>
      <c r="F8" s="251">
        <f t="shared" ref="F8:G8" si="0">+F9+F10</f>
        <v>10033675</v>
      </c>
      <c r="G8" s="251">
        <f t="shared" si="0"/>
        <v>6652263</v>
      </c>
      <c r="H8" s="251">
        <f t="shared" ref="H8:M8" si="1">+H9+H10</f>
        <v>3729040</v>
      </c>
      <c r="I8" s="251">
        <f t="shared" si="1"/>
        <v>2720411</v>
      </c>
      <c r="J8" s="251">
        <f t="shared" si="1"/>
        <v>2720411</v>
      </c>
      <c r="K8" s="251">
        <f t="shared" si="1"/>
        <v>2720411</v>
      </c>
      <c r="L8" s="251">
        <f t="shared" si="1"/>
        <v>1360206</v>
      </c>
      <c r="M8" s="168">
        <f t="shared" si="1"/>
        <v>29936417</v>
      </c>
      <c r="N8" s="2096"/>
      <c r="O8" s="374" t="e">
        <f>#REF!+F8+G8+H8+I8+J8+K8+L8</f>
        <v>#REF!</v>
      </c>
    </row>
    <row r="9" spans="1:65" s="2737" customFormat="1" ht="13.5" customHeight="1">
      <c r="A9" s="2097"/>
      <c r="B9" s="971" t="s">
        <v>77</v>
      </c>
      <c r="C9" s="250"/>
      <c r="D9" s="251">
        <f t="shared" ref="D9:L9" si="2">+D34+D103+D130+D137</f>
        <v>25156056</v>
      </c>
      <c r="E9" s="251">
        <f t="shared" si="2"/>
        <v>5960282</v>
      </c>
      <c r="F9" s="251">
        <f t="shared" si="2"/>
        <v>3900000</v>
      </c>
      <c r="G9" s="251">
        <f t="shared" si="2"/>
        <v>3274335</v>
      </c>
      <c r="H9" s="251">
        <f t="shared" si="2"/>
        <v>2500000</v>
      </c>
      <c r="I9" s="251">
        <f t="shared" si="2"/>
        <v>2720411</v>
      </c>
      <c r="J9" s="251">
        <f t="shared" si="2"/>
        <v>2720411</v>
      </c>
      <c r="K9" s="251">
        <f t="shared" si="2"/>
        <v>2720411</v>
      </c>
      <c r="L9" s="251">
        <f t="shared" si="2"/>
        <v>1360206</v>
      </c>
      <c r="M9" s="168">
        <f>SUM(F9:L9)</f>
        <v>19195774</v>
      </c>
      <c r="N9" s="2096"/>
      <c r="O9" s="374"/>
    </row>
    <row r="10" spans="1:65" s="2737" customFormat="1" ht="13.5" customHeight="1" thickBot="1">
      <c r="A10" s="2097"/>
      <c r="B10" s="255" t="s">
        <v>9</v>
      </c>
      <c r="C10" s="822"/>
      <c r="D10" s="253">
        <f t="shared" ref="D10:L10" si="3">D164+D68+D79+D90+D118+D53+D151</f>
        <v>19723223</v>
      </c>
      <c r="E10" s="253">
        <f t="shared" si="3"/>
        <v>8982580</v>
      </c>
      <c r="F10" s="253">
        <f t="shared" si="3"/>
        <v>6133675</v>
      </c>
      <c r="G10" s="253">
        <f t="shared" si="3"/>
        <v>3377928</v>
      </c>
      <c r="H10" s="253">
        <f t="shared" si="3"/>
        <v>1229040</v>
      </c>
      <c r="I10" s="253">
        <f t="shared" si="3"/>
        <v>0</v>
      </c>
      <c r="J10" s="253">
        <f t="shared" si="3"/>
        <v>0</v>
      </c>
      <c r="K10" s="253">
        <f t="shared" si="3"/>
        <v>0</v>
      </c>
      <c r="L10" s="253">
        <f t="shared" si="3"/>
        <v>0</v>
      </c>
      <c r="M10" s="170">
        <f>SUM(F10:L10)</f>
        <v>10740643</v>
      </c>
      <c r="N10" s="2098"/>
    </row>
    <row r="11" spans="1:65" s="2104" customFormat="1" ht="14.25" customHeight="1">
      <c r="A11" s="2099"/>
      <c r="B11" s="91" t="s">
        <v>10</v>
      </c>
      <c r="C11" s="209"/>
      <c r="D11" s="116">
        <f>+D12+D17</f>
        <v>44879279</v>
      </c>
      <c r="E11" s="263">
        <f t="shared" ref="E11" si="4">+E12+E17</f>
        <v>14942862</v>
      </c>
      <c r="F11" s="263">
        <f t="shared" ref="F11:M11" si="5">+F12+F17</f>
        <v>10033675</v>
      </c>
      <c r="G11" s="263">
        <f t="shared" si="5"/>
        <v>6652263</v>
      </c>
      <c r="H11" s="263">
        <f>+H12+H17</f>
        <v>3729040</v>
      </c>
      <c r="I11" s="263">
        <f>+I12+I17</f>
        <v>2720411</v>
      </c>
      <c r="J11" s="263">
        <f>+J12+J17</f>
        <v>2720411</v>
      </c>
      <c r="K11" s="263">
        <f>+K12+K17</f>
        <v>2720411</v>
      </c>
      <c r="L11" s="263">
        <f>+L12+L17</f>
        <v>1360206</v>
      </c>
      <c r="M11" s="2100">
        <f t="shared" si="5"/>
        <v>29936417</v>
      </c>
      <c r="N11" s="2101"/>
      <c r="O11" s="2102"/>
      <c r="P11" s="429"/>
      <c r="Q11" s="2103"/>
      <c r="R11" s="2103"/>
      <c r="S11" s="2103"/>
      <c r="T11" s="2103"/>
      <c r="U11" s="2103"/>
      <c r="V11" s="2103"/>
      <c r="W11" s="2103"/>
      <c r="X11" s="2103"/>
      <c r="Y11" s="2103"/>
      <c r="Z11" s="2103"/>
      <c r="AA11" s="2103"/>
      <c r="AB11" s="2103"/>
      <c r="AC11" s="2103"/>
      <c r="AD11" s="2103"/>
      <c r="AE11" s="2103"/>
      <c r="AF11" s="2103"/>
      <c r="AG11" s="2103"/>
      <c r="AH11" s="2103"/>
      <c r="AI11" s="2103"/>
      <c r="AJ11" s="2103"/>
      <c r="AK11" s="2103"/>
      <c r="AL11" s="2103"/>
      <c r="AM11" s="2103"/>
      <c r="AN11" s="2103"/>
      <c r="AO11" s="2103"/>
      <c r="AP11" s="2103"/>
      <c r="AQ11" s="2103"/>
      <c r="AR11" s="2103"/>
      <c r="AS11" s="2103"/>
      <c r="AT11" s="2103"/>
      <c r="AU11" s="2103"/>
      <c r="AV11" s="2103"/>
      <c r="AW11" s="2103"/>
      <c r="AX11" s="2103"/>
      <c r="AY11" s="2103"/>
      <c r="AZ11" s="2103"/>
      <c r="BA11" s="2103"/>
      <c r="BB11" s="2103"/>
      <c r="BC11" s="2103"/>
      <c r="BD11" s="2103"/>
      <c r="BE11" s="2103"/>
      <c r="BF11" s="2103"/>
      <c r="BG11" s="2103"/>
      <c r="BH11" s="2103"/>
      <c r="BI11" s="2103"/>
      <c r="BJ11" s="2103"/>
      <c r="BK11" s="2103"/>
      <c r="BL11" s="2103"/>
      <c r="BM11" s="2103"/>
    </row>
    <row r="12" spans="1:65" s="2109" customFormat="1" ht="14.25" customHeight="1">
      <c r="A12" s="2105"/>
      <c r="B12" s="972" t="s">
        <v>11</v>
      </c>
      <c r="C12" s="2106"/>
      <c r="D12" s="2107">
        <f>SUM(D13:D16)</f>
        <v>18491850</v>
      </c>
      <c r="E12" s="2107">
        <f t="shared" ref="E12" si="6">SUM(E13:E16)</f>
        <v>4363786</v>
      </c>
      <c r="F12" s="2107">
        <f t="shared" ref="F12:L12" si="7">SUM(F13:F16)</f>
        <v>6444915</v>
      </c>
      <c r="G12" s="2107">
        <f t="shared" si="7"/>
        <v>2629912</v>
      </c>
      <c r="H12" s="2107">
        <f t="shared" si="7"/>
        <v>1590288</v>
      </c>
      <c r="I12" s="2107">
        <f t="shared" si="7"/>
        <v>989414</v>
      </c>
      <c r="J12" s="2107">
        <f t="shared" si="7"/>
        <v>989414</v>
      </c>
      <c r="K12" s="2107">
        <f t="shared" si="7"/>
        <v>989414</v>
      </c>
      <c r="L12" s="2107">
        <f t="shared" si="7"/>
        <v>494707</v>
      </c>
      <c r="M12" s="2108">
        <f>SUM(M13:M16)</f>
        <v>14128064</v>
      </c>
      <c r="N12" s="2740"/>
      <c r="P12" s="2737"/>
    </row>
    <row r="13" spans="1:65" s="2109" customFormat="1" ht="14.25" hidden="1" customHeight="1">
      <c r="A13" s="2110"/>
      <c r="B13" s="973" t="s">
        <v>12</v>
      </c>
      <c r="C13" s="2111"/>
      <c r="D13" s="2112">
        <f t="shared" ref="D13:M13" si="8">+D36+D105+D120+D139+D153</f>
        <v>0</v>
      </c>
      <c r="E13" s="2112">
        <f t="shared" ref="E13" si="9">+E36+E105+E120+E139+E153</f>
        <v>0</v>
      </c>
      <c r="F13" s="2112">
        <f t="shared" si="8"/>
        <v>0</v>
      </c>
      <c r="G13" s="2112">
        <f t="shared" si="8"/>
        <v>0</v>
      </c>
      <c r="H13" s="2112">
        <f t="shared" si="8"/>
        <v>0</v>
      </c>
      <c r="I13" s="2112">
        <f t="shared" si="8"/>
        <v>0</v>
      </c>
      <c r="J13" s="2112">
        <f t="shared" si="8"/>
        <v>0</v>
      </c>
      <c r="K13" s="2112">
        <f t="shared" si="8"/>
        <v>0</v>
      </c>
      <c r="L13" s="2112">
        <f t="shared" si="8"/>
        <v>0</v>
      </c>
      <c r="M13" s="2113">
        <f t="shared" si="8"/>
        <v>0</v>
      </c>
      <c r="N13" s="2740"/>
      <c r="O13" s="2114"/>
      <c r="P13" s="2115"/>
    </row>
    <row r="14" spans="1:65" s="2109" customFormat="1" ht="13.5" customHeight="1" outlineLevel="1">
      <c r="A14" s="2110"/>
      <c r="B14" s="974" t="s">
        <v>13</v>
      </c>
      <c r="C14" s="2111"/>
      <c r="D14" s="2112">
        <f>D167+D37+D55+D140+D154</f>
        <v>9149279</v>
      </c>
      <c r="E14" s="2112">
        <f t="shared" ref="E14" si="10">E167+E37+E55+E140+E154</f>
        <v>2167756</v>
      </c>
      <c r="F14" s="2112">
        <f t="shared" ref="F14:L14" si="11">F167+F37+F55+F140+F154</f>
        <v>1418000</v>
      </c>
      <c r="G14" s="2112">
        <f t="shared" si="11"/>
        <v>1191324</v>
      </c>
      <c r="H14" s="2112">
        <f t="shared" si="11"/>
        <v>909250</v>
      </c>
      <c r="I14" s="2112">
        <f t="shared" si="11"/>
        <v>989414</v>
      </c>
      <c r="J14" s="2112">
        <f t="shared" si="11"/>
        <v>989414</v>
      </c>
      <c r="K14" s="2112">
        <f t="shared" si="11"/>
        <v>989414</v>
      </c>
      <c r="L14" s="2112">
        <f t="shared" si="11"/>
        <v>494707</v>
      </c>
      <c r="M14" s="2113">
        <f>M167+M37+M55+M140+M154</f>
        <v>6981523</v>
      </c>
      <c r="N14" s="2740"/>
      <c r="O14" s="2114">
        <f>D14-D24</f>
        <v>0</v>
      </c>
      <c r="P14" s="2115"/>
    </row>
    <row r="15" spans="1:65" s="2109" customFormat="1" ht="12.75" hidden="1" outlineLevel="1">
      <c r="A15" s="2110"/>
      <c r="B15" s="973" t="s">
        <v>14</v>
      </c>
      <c r="C15" s="2111"/>
      <c r="D15" s="2112">
        <f>+D38+D92+D106+D121+D56</f>
        <v>0</v>
      </c>
      <c r="E15" s="2112">
        <f t="shared" ref="E15" si="12">+E38+E92+E106+E121+E56</f>
        <v>0</v>
      </c>
      <c r="F15" s="2112">
        <f t="shared" ref="F15:L15" si="13">+F38+F92+F106+F121+F56</f>
        <v>0</v>
      </c>
      <c r="G15" s="2112">
        <f t="shared" si="13"/>
        <v>0</v>
      </c>
      <c r="H15" s="2112">
        <f t="shared" si="13"/>
        <v>0</v>
      </c>
      <c r="I15" s="2112">
        <f t="shared" si="13"/>
        <v>0</v>
      </c>
      <c r="J15" s="2112">
        <f t="shared" si="13"/>
        <v>0</v>
      </c>
      <c r="K15" s="2112">
        <f t="shared" si="13"/>
        <v>0</v>
      </c>
      <c r="L15" s="2112">
        <f t="shared" si="13"/>
        <v>0</v>
      </c>
      <c r="M15" s="2113">
        <f>+M38+M92+M106+M121+M56</f>
        <v>0</v>
      </c>
      <c r="N15" s="2740"/>
      <c r="O15" s="2114">
        <f>D15-D25</f>
        <v>0</v>
      </c>
      <c r="P15" s="2115"/>
    </row>
    <row r="16" spans="1:65" s="2109" customFormat="1" ht="14.25" customHeight="1" outlineLevel="1">
      <c r="A16" s="2110"/>
      <c r="B16" s="973" t="s">
        <v>16</v>
      </c>
      <c r="C16" s="975"/>
      <c r="D16" s="2112">
        <f t="shared" ref="D16:L16" si="14">+D70+D81</f>
        <v>9342571</v>
      </c>
      <c r="E16" s="2112">
        <f>+E70+E81</f>
        <v>2196030</v>
      </c>
      <c r="F16" s="2112">
        <f>+F70+F81</f>
        <v>5026915</v>
      </c>
      <c r="G16" s="2112">
        <f t="shared" si="14"/>
        <v>1438588</v>
      </c>
      <c r="H16" s="2112">
        <f t="shared" si="14"/>
        <v>681038</v>
      </c>
      <c r="I16" s="2112">
        <f t="shared" si="14"/>
        <v>0</v>
      </c>
      <c r="J16" s="2112">
        <f t="shared" si="14"/>
        <v>0</v>
      </c>
      <c r="K16" s="2112">
        <f t="shared" si="14"/>
        <v>0</v>
      </c>
      <c r="L16" s="2112">
        <f t="shared" si="14"/>
        <v>0</v>
      </c>
      <c r="M16" s="2113">
        <f>+M70+M81</f>
        <v>7146541</v>
      </c>
      <c r="N16" s="2740"/>
      <c r="O16" s="2114">
        <f>D16-D26</f>
        <v>0</v>
      </c>
      <c r="P16" s="2115"/>
    </row>
    <row r="17" spans="1:16" s="2109" customFormat="1" ht="14.25" customHeight="1" outlineLevel="1">
      <c r="A17" s="2105"/>
      <c r="B17" s="2116" t="s">
        <v>18</v>
      </c>
      <c r="C17" s="2117"/>
      <c r="D17" s="2118">
        <f>+D19+D20+D21+D18</f>
        <v>26387429</v>
      </c>
      <c r="E17" s="2118">
        <f t="shared" ref="E17" si="15">+E19+E20+E21+E18</f>
        <v>10579076</v>
      </c>
      <c r="F17" s="2118">
        <f t="shared" ref="F17:I17" si="16">+F19+F20+F21+F18</f>
        <v>3588760</v>
      </c>
      <c r="G17" s="2118">
        <f t="shared" si="16"/>
        <v>4022351</v>
      </c>
      <c r="H17" s="2118">
        <f t="shared" si="16"/>
        <v>2138752</v>
      </c>
      <c r="I17" s="2118">
        <f t="shared" si="16"/>
        <v>1730997</v>
      </c>
      <c r="J17" s="2118">
        <f>+J19+J20+J21+J18</f>
        <v>1730997</v>
      </c>
      <c r="K17" s="2118">
        <f>+K19+K20+K21+K18</f>
        <v>1730997</v>
      </c>
      <c r="L17" s="2118">
        <f>+L19+L20+L21+L18</f>
        <v>865499</v>
      </c>
      <c r="M17" s="2119">
        <f>+M19+M20+M21+M18</f>
        <v>15808353</v>
      </c>
      <c r="N17" s="2740"/>
      <c r="O17" s="2115">
        <f>D19-D30</f>
        <v>0</v>
      </c>
      <c r="P17" s="2115"/>
    </row>
    <row r="18" spans="1:16" s="2109" customFormat="1" ht="14.25" hidden="1" customHeight="1" outlineLevel="1">
      <c r="A18" s="2105"/>
      <c r="B18" s="973" t="s">
        <v>12</v>
      </c>
      <c r="C18" s="2106"/>
      <c r="D18" s="2112">
        <f t="shared" ref="D18:L18" si="17">+D108+D40</f>
        <v>0</v>
      </c>
      <c r="E18" s="2112">
        <f t="shared" ref="E18" si="18">+E108+E40</f>
        <v>0</v>
      </c>
      <c r="F18" s="2112">
        <f t="shared" si="17"/>
        <v>0</v>
      </c>
      <c r="G18" s="2112">
        <f t="shared" si="17"/>
        <v>0</v>
      </c>
      <c r="H18" s="2112">
        <f t="shared" si="17"/>
        <v>0</v>
      </c>
      <c r="I18" s="2112">
        <f t="shared" si="17"/>
        <v>0</v>
      </c>
      <c r="J18" s="2112">
        <f t="shared" si="17"/>
        <v>0</v>
      </c>
      <c r="K18" s="2112">
        <f t="shared" si="17"/>
        <v>0</v>
      </c>
      <c r="L18" s="2112">
        <f t="shared" si="17"/>
        <v>0</v>
      </c>
      <c r="M18" s="2113">
        <f>+M108</f>
        <v>0</v>
      </c>
      <c r="N18" s="2740"/>
      <c r="O18" s="2115"/>
      <c r="P18" s="2115"/>
    </row>
    <row r="19" spans="1:16" s="2109" customFormat="1" ht="14.25" customHeight="1" outlineLevel="1">
      <c r="A19" s="2105"/>
      <c r="B19" s="974" t="s">
        <v>21</v>
      </c>
      <c r="C19" s="2111"/>
      <c r="D19" s="2112">
        <f>D169+D41+D94+D58+D142+D156</f>
        <v>16006777</v>
      </c>
      <c r="E19" s="2112">
        <f t="shared" ref="E19" si="19">E169+E41+E94+E58+E142+E156</f>
        <v>3792526</v>
      </c>
      <c r="F19" s="2112">
        <f t="shared" ref="F19:L19" si="20">F169+F41+F94+F58+F142+F156</f>
        <v>2482000</v>
      </c>
      <c r="G19" s="2112">
        <f t="shared" si="20"/>
        <v>2083011</v>
      </c>
      <c r="H19" s="2112">
        <f t="shared" si="20"/>
        <v>1590750</v>
      </c>
      <c r="I19" s="2112">
        <f t="shared" si="20"/>
        <v>1730997</v>
      </c>
      <c r="J19" s="2112">
        <f t="shared" si="20"/>
        <v>1730997</v>
      </c>
      <c r="K19" s="2112">
        <f t="shared" si="20"/>
        <v>1730997</v>
      </c>
      <c r="L19" s="2112">
        <f t="shared" si="20"/>
        <v>865499</v>
      </c>
      <c r="M19" s="2113">
        <f>M169+M41+M94+M58+M142+M156</f>
        <v>12214251</v>
      </c>
      <c r="N19" s="2740"/>
      <c r="O19" s="2114"/>
      <c r="P19" s="2115"/>
    </row>
    <row r="20" spans="1:16" s="2109" customFormat="1" ht="14.25" hidden="1" customHeight="1" outlineLevel="1">
      <c r="A20" s="2105"/>
      <c r="B20" s="973" t="s">
        <v>14</v>
      </c>
      <c r="C20" s="2120"/>
      <c r="D20" s="2112">
        <f>+D42+D95+D109+D123+D59</f>
        <v>0</v>
      </c>
      <c r="E20" s="2112">
        <f t="shared" ref="E20" si="21">+E42+E95+E109+E123+E59</f>
        <v>0</v>
      </c>
      <c r="F20" s="2112">
        <f t="shared" ref="F20:M20" si="22">+F42+F95+F109+F123+F59</f>
        <v>0</v>
      </c>
      <c r="G20" s="2112">
        <f t="shared" si="22"/>
        <v>0</v>
      </c>
      <c r="H20" s="2112">
        <f t="shared" si="22"/>
        <v>0</v>
      </c>
      <c r="I20" s="2112">
        <f t="shared" si="22"/>
        <v>0</v>
      </c>
      <c r="J20" s="2112">
        <f t="shared" si="22"/>
        <v>0</v>
      </c>
      <c r="K20" s="2112">
        <f t="shared" si="22"/>
        <v>0</v>
      </c>
      <c r="L20" s="2112">
        <f t="shared" si="22"/>
        <v>0</v>
      </c>
      <c r="M20" s="2113">
        <f t="shared" si="22"/>
        <v>0</v>
      </c>
      <c r="N20" s="2740"/>
      <c r="O20" s="2114"/>
      <c r="P20" s="2115"/>
    </row>
    <row r="21" spans="1:16" s="2109" customFormat="1" ht="14.25" customHeight="1" outlineLevel="1">
      <c r="A21" s="2105"/>
      <c r="B21" s="974" t="s">
        <v>20</v>
      </c>
      <c r="C21" s="2120"/>
      <c r="D21" s="2112">
        <f t="shared" ref="D21:M21" si="23">D72+D83+D132</f>
        <v>10380652</v>
      </c>
      <c r="E21" s="2112">
        <f t="shared" ref="E21" si="24">E72+E83+E132</f>
        <v>6786550</v>
      </c>
      <c r="F21" s="2112">
        <f t="shared" si="23"/>
        <v>1106760</v>
      </c>
      <c r="G21" s="2112">
        <f t="shared" si="23"/>
        <v>1939340</v>
      </c>
      <c r="H21" s="2112">
        <f t="shared" si="23"/>
        <v>548002</v>
      </c>
      <c r="I21" s="2112">
        <f t="shared" si="23"/>
        <v>0</v>
      </c>
      <c r="J21" s="2112">
        <f t="shared" si="23"/>
        <v>0</v>
      </c>
      <c r="K21" s="2112">
        <f t="shared" si="23"/>
        <v>0</v>
      </c>
      <c r="L21" s="2112">
        <f t="shared" si="23"/>
        <v>0</v>
      </c>
      <c r="M21" s="2113">
        <f t="shared" si="23"/>
        <v>3594102</v>
      </c>
      <c r="N21" s="2745"/>
      <c r="O21" s="2114"/>
      <c r="P21" s="2115"/>
    </row>
    <row r="22" spans="1:16" s="2109" customFormat="1" ht="14.25" customHeight="1" outlineLevel="1">
      <c r="A22" s="2097"/>
      <c r="B22" s="91" t="s">
        <v>22</v>
      </c>
      <c r="C22" s="101"/>
      <c r="D22" s="2121">
        <f>+D23+D29</f>
        <v>44879279</v>
      </c>
      <c r="E22" s="2121">
        <f t="shared" ref="E22" si="25">+E23+E29</f>
        <v>17257433</v>
      </c>
      <c r="F22" s="2121">
        <f t="shared" ref="F22:L22" si="26">+F23+F29</f>
        <v>7342541</v>
      </c>
      <c r="G22" s="2121">
        <f t="shared" si="26"/>
        <v>3274335</v>
      </c>
      <c r="H22" s="2121">
        <f t="shared" si="26"/>
        <v>7483531</v>
      </c>
      <c r="I22" s="2121">
        <f t="shared" si="26"/>
        <v>2720411</v>
      </c>
      <c r="J22" s="2121">
        <f t="shared" si="26"/>
        <v>2720411</v>
      </c>
      <c r="K22" s="2121">
        <f t="shared" si="26"/>
        <v>2720411</v>
      </c>
      <c r="L22" s="2121">
        <f t="shared" si="26"/>
        <v>1360206</v>
      </c>
      <c r="M22" s="3656" t="s">
        <v>61</v>
      </c>
      <c r="N22" s="2746"/>
      <c r="O22" s="2115">
        <f>D32-D21-D18</f>
        <v>0</v>
      </c>
    </row>
    <row r="23" spans="1:16" s="2109" customFormat="1" ht="14.25" customHeight="1" outlineLevel="1">
      <c r="A23" s="2105"/>
      <c r="B23" s="972" t="s">
        <v>11</v>
      </c>
      <c r="C23" s="2106"/>
      <c r="D23" s="2107">
        <f t="shared" ref="D23" si="27">SUM(D24:D28)</f>
        <v>18491850</v>
      </c>
      <c r="E23" s="2107">
        <f t="shared" ref="E23" si="28">SUM(E24:E28)</f>
        <v>4363786</v>
      </c>
      <c r="F23" s="2107">
        <f t="shared" ref="F23:L23" si="29">SUM(F24:F28)</f>
        <v>4860541</v>
      </c>
      <c r="G23" s="2107">
        <f t="shared" si="29"/>
        <v>1191324</v>
      </c>
      <c r="H23" s="2107">
        <f t="shared" si="29"/>
        <v>4613250</v>
      </c>
      <c r="I23" s="2107">
        <f t="shared" si="29"/>
        <v>989414</v>
      </c>
      <c r="J23" s="2107">
        <f t="shared" si="29"/>
        <v>989414</v>
      </c>
      <c r="K23" s="2107">
        <f t="shared" si="29"/>
        <v>989414</v>
      </c>
      <c r="L23" s="2107">
        <f t="shared" si="29"/>
        <v>494707</v>
      </c>
      <c r="M23" s="3589"/>
      <c r="N23" s="2740"/>
      <c r="O23" s="2115"/>
    </row>
    <row r="24" spans="1:16" s="2109" customFormat="1" ht="14.25" customHeight="1" outlineLevel="1">
      <c r="A24" s="2110"/>
      <c r="B24" s="974" t="s">
        <v>13</v>
      </c>
      <c r="C24" s="975"/>
      <c r="D24" s="2112">
        <f>+D172+D45+D62+D145+D159</f>
        <v>9149279</v>
      </c>
      <c r="E24" s="2112">
        <f t="shared" ref="E24" si="30">+E172+E45+E62+E145+E159</f>
        <v>2167756</v>
      </c>
      <c r="F24" s="2112">
        <f t="shared" ref="F24:L24" si="31">+F172+F45+F62+F145+F159</f>
        <v>1418000</v>
      </c>
      <c r="G24" s="2112">
        <f t="shared" si="31"/>
        <v>1191324</v>
      </c>
      <c r="H24" s="2112">
        <f t="shared" si="31"/>
        <v>909250</v>
      </c>
      <c r="I24" s="2112">
        <f t="shared" si="31"/>
        <v>989414</v>
      </c>
      <c r="J24" s="2112">
        <f t="shared" si="31"/>
        <v>989414</v>
      </c>
      <c r="K24" s="2112">
        <f t="shared" si="31"/>
        <v>989414</v>
      </c>
      <c r="L24" s="2112">
        <f t="shared" si="31"/>
        <v>494707</v>
      </c>
      <c r="M24" s="3589"/>
      <c r="N24" s="2740"/>
      <c r="O24" s="2115">
        <f>D24-D14</f>
        <v>0</v>
      </c>
    </row>
    <row r="25" spans="1:16" s="2109" customFormat="1" ht="14.25" hidden="1" customHeight="1" outlineLevel="1">
      <c r="A25" s="2110"/>
      <c r="B25" s="973" t="s">
        <v>14</v>
      </c>
      <c r="C25" s="2111"/>
      <c r="D25" s="2112">
        <f>+D46+D98+D112+D126+D63</f>
        <v>0</v>
      </c>
      <c r="E25" s="2112">
        <f t="shared" ref="E25" si="32">+E46+E98+E112+E126+E63</f>
        <v>0</v>
      </c>
      <c r="F25" s="2112">
        <f t="shared" ref="F25:L25" si="33">+F46+F98+F112+F126+F63</f>
        <v>0</v>
      </c>
      <c r="G25" s="2112">
        <f t="shared" si="33"/>
        <v>0</v>
      </c>
      <c r="H25" s="2112">
        <f t="shared" si="33"/>
        <v>0</v>
      </c>
      <c r="I25" s="2112">
        <f t="shared" si="33"/>
        <v>0</v>
      </c>
      <c r="J25" s="2112">
        <f t="shared" si="33"/>
        <v>0</v>
      </c>
      <c r="K25" s="2112">
        <f t="shared" si="33"/>
        <v>0</v>
      </c>
      <c r="L25" s="2112">
        <f t="shared" si="33"/>
        <v>0</v>
      </c>
      <c r="M25" s="3589"/>
      <c r="N25" s="2740"/>
      <c r="O25" s="2115">
        <f>D25-D15</f>
        <v>0</v>
      </c>
    </row>
    <row r="26" spans="1:16" s="2109" customFormat="1" ht="14.25" customHeight="1" outlineLevel="1">
      <c r="A26" s="2110"/>
      <c r="B26" s="973" t="s">
        <v>62</v>
      </c>
      <c r="C26" s="2111"/>
      <c r="D26" s="2112">
        <f t="shared" ref="D26:L26" si="34">+D75+D86</f>
        <v>9342571</v>
      </c>
      <c r="E26" s="2112">
        <f t="shared" ref="E26" si="35">+E75+E86</f>
        <v>2196030</v>
      </c>
      <c r="F26" s="2112">
        <f t="shared" si="34"/>
        <v>3442541</v>
      </c>
      <c r="G26" s="2112">
        <f t="shared" si="34"/>
        <v>0</v>
      </c>
      <c r="H26" s="2112">
        <f t="shared" si="34"/>
        <v>3704000</v>
      </c>
      <c r="I26" s="2112">
        <f t="shared" si="34"/>
        <v>0</v>
      </c>
      <c r="J26" s="2112">
        <f t="shared" si="34"/>
        <v>0</v>
      </c>
      <c r="K26" s="2112">
        <f t="shared" si="34"/>
        <v>0</v>
      </c>
      <c r="L26" s="2112">
        <f t="shared" si="34"/>
        <v>0</v>
      </c>
      <c r="M26" s="3589"/>
      <c r="N26" s="2740"/>
      <c r="O26" s="2115">
        <f>D26-D16</f>
        <v>0</v>
      </c>
    </row>
    <row r="27" spans="1:16" s="2109" customFormat="1" ht="14.25" hidden="1" customHeight="1" outlineLevel="1">
      <c r="A27" s="2110"/>
      <c r="B27" s="973" t="s">
        <v>25</v>
      </c>
      <c r="C27" s="2111"/>
      <c r="D27" s="2112">
        <f t="shared" ref="D27:L27" si="36">+D113+D47</f>
        <v>0</v>
      </c>
      <c r="E27" s="2112">
        <f t="shared" ref="E27" si="37">+E113+E47</f>
        <v>0</v>
      </c>
      <c r="F27" s="2112">
        <f t="shared" si="36"/>
        <v>0</v>
      </c>
      <c r="G27" s="2112">
        <f t="shared" si="36"/>
        <v>0</v>
      </c>
      <c r="H27" s="2112">
        <f t="shared" si="36"/>
        <v>0</v>
      </c>
      <c r="I27" s="2112">
        <f t="shared" si="36"/>
        <v>0</v>
      </c>
      <c r="J27" s="2112">
        <f t="shared" si="36"/>
        <v>0</v>
      </c>
      <c r="K27" s="2112">
        <f t="shared" si="36"/>
        <v>0</v>
      </c>
      <c r="L27" s="2112">
        <f t="shared" si="36"/>
        <v>0</v>
      </c>
      <c r="M27" s="3589"/>
      <c r="N27" s="2740"/>
    </row>
    <row r="28" spans="1:16" s="2109" customFormat="1" ht="12.75" hidden="1" customHeight="1" outlineLevel="1">
      <c r="A28" s="2110"/>
      <c r="B28" s="976" t="s">
        <v>12</v>
      </c>
      <c r="C28" s="2122"/>
      <c r="D28" s="2123">
        <v>0</v>
      </c>
      <c r="E28" s="2123">
        <v>0</v>
      </c>
      <c r="F28" s="2123">
        <v>0</v>
      </c>
      <c r="G28" s="2123"/>
      <c r="H28" s="2123"/>
      <c r="I28" s="2123"/>
      <c r="J28" s="2123"/>
      <c r="K28" s="2123"/>
      <c r="L28" s="2123"/>
      <c r="M28" s="3589"/>
      <c r="N28" s="2740"/>
    </row>
    <row r="29" spans="1:16" s="2109" customFormat="1" ht="14.25" customHeight="1" outlineLevel="1">
      <c r="A29" s="2105"/>
      <c r="B29" s="2116" t="s">
        <v>18</v>
      </c>
      <c r="C29" s="2124"/>
      <c r="D29" s="2118">
        <f>+D30+D32+D31</f>
        <v>26387429</v>
      </c>
      <c r="E29" s="2118">
        <f t="shared" ref="E29" si="38">SUM(E30:E32)</f>
        <v>12893647</v>
      </c>
      <c r="F29" s="2118">
        <f t="shared" ref="F29:L29" si="39">SUM(F30:F32)</f>
        <v>2482000</v>
      </c>
      <c r="G29" s="2118">
        <f t="shared" si="39"/>
        <v>2083011</v>
      </c>
      <c r="H29" s="2118">
        <f t="shared" si="39"/>
        <v>2870281</v>
      </c>
      <c r="I29" s="2118">
        <f t="shared" si="39"/>
        <v>1730997</v>
      </c>
      <c r="J29" s="2118">
        <f t="shared" si="39"/>
        <v>1730997</v>
      </c>
      <c r="K29" s="2118">
        <f t="shared" si="39"/>
        <v>1730997</v>
      </c>
      <c r="L29" s="2118">
        <f t="shared" si="39"/>
        <v>865499</v>
      </c>
      <c r="M29" s="3589"/>
      <c r="N29" s="2740"/>
    </row>
    <row r="30" spans="1:16" s="2109" customFormat="1" ht="14.25" customHeight="1" outlineLevel="1">
      <c r="A30" s="2110"/>
      <c r="B30" s="974" t="s">
        <v>21</v>
      </c>
      <c r="C30" s="2125"/>
      <c r="D30" s="2112">
        <f>D175+D100+D49+D65+D148+D162</f>
        <v>16006777</v>
      </c>
      <c r="E30" s="2112">
        <f t="shared" ref="E30" si="40">E175+E100+E49+E65+E148+E162</f>
        <v>3792526</v>
      </c>
      <c r="F30" s="2112">
        <f t="shared" ref="F30:L30" si="41">F175+F100+F49+F65+F148+F162</f>
        <v>2482000</v>
      </c>
      <c r="G30" s="2112">
        <f t="shared" si="41"/>
        <v>2083011</v>
      </c>
      <c r="H30" s="2112">
        <f t="shared" si="41"/>
        <v>1590750</v>
      </c>
      <c r="I30" s="2112">
        <f t="shared" si="41"/>
        <v>1730997</v>
      </c>
      <c r="J30" s="2112">
        <f t="shared" si="41"/>
        <v>1730997</v>
      </c>
      <c r="K30" s="2112">
        <f t="shared" si="41"/>
        <v>1730997</v>
      </c>
      <c r="L30" s="2112">
        <f t="shared" si="41"/>
        <v>865499</v>
      </c>
      <c r="M30" s="3589"/>
      <c r="N30" s="2740"/>
      <c r="O30" s="2115">
        <f>D30-D19</f>
        <v>0</v>
      </c>
    </row>
    <row r="31" spans="1:16" s="2109" customFormat="1" ht="14.25" hidden="1" customHeight="1" outlineLevel="1">
      <c r="A31" s="2110"/>
      <c r="B31" s="973" t="s">
        <v>14</v>
      </c>
      <c r="C31" s="2125"/>
      <c r="D31" s="2112">
        <f>+D50+D101+D115+D128+D66</f>
        <v>0</v>
      </c>
      <c r="E31" s="2112">
        <f t="shared" ref="E31" si="42">+E50+E101+E115+E128+E66</f>
        <v>0</v>
      </c>
      <c r="F31" s="2112">
        <f t="shared" ref="F31:L31" si="43">+F50+F101+F115+F128+F66</f>
        <v>0</v>
      </c>
      <c r="G31" s="2112">
        <f t="shared" si="43"/>
        <v>0</v>
      </c>
      <c r="H31" s="2112">
        <f t="shared" si="43"/>
        <v>0</v>
      </c>
      <c r="I31" s="2112">
        <f t="shared" si="43"/>
        <v>0</v>
      </c>
      <c r="J31" s="2112">
        <f t="shared" si="43"/>
        <v>0</v>
      </c>
      <c r="K31" s="2112">
        <f t="shared" si="43"/>
        <v>0</v>
      </c>
      <c r="L31" s="2112">
        <f t="shared" si="43"/>
        <v>0</v>
      </c>
      <c r="M31" s="3589"/>
      <c r="N31" s="2740"/>
      <c r="O31" s="2115">
        <f>D31-D20</f>
        <v>0</v>
      </c>
      <c r="P31" s="2115"/>
    </row>
    <row r="32" spans="1:16" s="2109" customFormat="1" ht="14.25" customHeight="1" collapsed="1" thickBot="1">
      <c r="A32" s="2126"/>
      <c r="B32" s="2127" t="s">
        <v>20</v>
      </c>
      <c r="C32" s="2128"/>
      <c r="D32" s="2129">
        <f t="shared" ref="D32:L32" si="44">+D77+D88+D116+D51+D135</f>
        <v>10380652</v>
      </c>
      <c r="E32" s="2129">
        <f>+E77+E88+E116+E51+E135</f>
        <v>9101121</v>
      </c>
      <c r="F32" s="2129">
        <f t="shared" si="44"/>
        <v>0</v>
      </c>
      <c r="G32" s="2129">
        <f t="shared" si="44"/>
        <v>0</v>
      </c>
      <c r="H32" s="2129">
        <f t="shared" si="44"/>
        <v>1279531</v>
      </c>
      <c r="I32" s="2129">
        <f t="shared" si="44"/>
        <v>0</v>
      </c>
      <c r="J32" s="2129">
        <f t="shared" si="44"/>
        <v>0</v>
      </c>
      <c r="K32" s="2129">
        <f t="shared" si="44"/>
        <v>0</v>
      </c>
      <c r="L32" s="2129">
        <f t="shared" si="44"/>
        <v>0</v>
      </c>
      <c r="M32" s="3590"/>
      <c r="N32" s="2741"/>
      <c r="O32" s="2115">
        <f>D32-D21-D18</f>
        <v>0</v>
      </c>
    </row>
    <row r="33" spans="1:15" s="213" customFormat="1" hidden="1">
      <c r="A33" s="3626"/>
      <c r="B33" s="977"/>
      <c r="C33" s="978" t="s">
        <v>111</v>
      </c>
      <c r="D33" s="978"/>
      <c r="E33" s="979"/>
      <c r="F33" s="979"/>
      <c r="G33" s="979"/>
      <c r="H33" s="979"/>
      <c r="I33" s="979"/>
      <c r="J33" s="979"/>
      <c r="K33" s="979"/>
      <c r="L33" s="979"/>
      <c r="M33" s="980"/>
      <c r="N33" s="3607" t="s">
        <v>175</v>
      </c>
    </row>
    <row r="34" spans="1:15" s="213" customFormat="1" ht="14.25" hidden="1" customHeight="1">
      <c r="A34" s="3626"/>
      <c r="B34" s="626" t="s">
        <v>10</v>
      </c>
      <c r="C34" s="981"/>
      <c r="D34" s="982"/>
      <c r="E34" s="983"/>
      <c r="F34" s="983"/>
      <c r="G34" s="983"/>
      <c r="H34" s="983"/>
      <c r="I34" s="983"/>
      <c r="J34" s="983"/>
      <c r="K34" s="983"/>
      <c r="L34" s="983"/>
      <c r="M34" s="984">
        <f>+M35+M39</f>
        <v>0</v>
      </c>
      <c r="N34" s="3607"/>
    </row>
    <row r="35" spans="1:15" s="213" customFormat="1" ht="12.95" hidden="1" customHeight="1">
      <c r="A35" s="3626"/>
      <c r="B35" s="985" t="s">
        <v>11</v>
      </c>
      <c r="C35" s="3615"/>
      <c r="D35" s="986"/>
      <c r="E35" s="987"/>
      <c r="F35" s="986"/>
      <c r="G35" s="986"/>
      <c r="H35" s="986"/>
      <c r="I35" s="986"/>
      <c r="J35" s="986"/>
      <c r="K35" s="986"/>
      <c r="L35" s="986"/>
      <c r="M35" s="988">
        <f>+M36+M38+M37</f>
        <v>0</v>
      </c>
      <c r="N35" s="3607"/>
    </row>
    <row r="36" spans="1:15" s="213" customFormat="1" ht="12.95" hidden="1" customHeight="1">
      <c r="A36" s="3626"/>
      <c r="B36" s="989" t="s">
        <v>12</v>
      </c>
      <c r="C36" s="3615"/>
      <c r="D36" s="280"/>
      <c r="E36" s="991"/>
      <c r="F36" s="991"/>
      <c r="G36" s="991"/>
      <c r="H36" s="991"/>
      <c r="I36" s="991"/>
      <c r="J36" s="991"/>
      <c r="K36" s="991"/>
      <c r="L36" s="991"/>
      <c r="M36" s="993">
        <f>SUM(F36:I36)</f>
        <v>0</v>
      </c>
      <c r="N36" s="3607"/>
      <c r="O36" s="994"/>
    </row>
    <row r="37" spans="1:15" s="393" customFormat="1" ht="12.95" hidden="1" customHeight="1">
      <c r="A37" s="3626"/>
      <c r="B37" s="995" t="s">
        <v>13</v>
      </c>
      <c r="C37" s="3615"/>
      <c r="D37" s="280"/>
      <c r="E37" s="991"/>
      <c r="F37" s="991"/>
      <c r="G37" s="991"/>
      <c r="H37" s="991"/>
      <c r="I37" s="991"/>
      <c r="J37" s="991"/>
      <c r="K37" s="991"/>
      <c r="L37" s="991"/>
      <c r="M37" s="993">
        <f>SUM(F37:I37)</f>
        <v>0</v>
      </c>
      <c r="N37" s="3607"/>
      <c r="O37" s="398"/>
    </row>
    <row r="38" spans="1:15" s="393" customFormat="1" ht="12.95" hidden="1" customHeight="1">
      <c r="A38" s="3626"/>
      <c r="B38" s="989" t="s">
        <v>14</v>
      </c>
      <c r="C38" s="3615"/>
      <c r="D38" s="280"/>
      <c r="E38" s="991"/>
      <c r="F38" s="991"/>
      <c r="G38" s="991"/>
      <c r="H38" s="991"/>
      <c r="I38" s="991"/>
      <c r="J38" s="991"/>
      <c r="K38" s="991"/>
      <c r="L38" s="991"/>
      <c r="M38" s="993">
        <f>SUM(F38:I38)</f>
        <v>0</v>
      </c>
      <c r="N38" s="3607"/>
    </row>
    <row r="39" spans="1:15" s="213" customFormat="1" ht="12.95" hidden="1" customHeight="1">
      <c r="A39" s="3626"/>
      <c r="B39" s="997" t="s">
        <v>18</v>
      </c>
      <c r="C39" s="3615"/>
      <c r="D39" s="986"/>
      <c r="E39" s="987"/>
      <c r="F39" s="986"/>
      <c r="G39" s="986"/>
      <c r="H39" s="986"/>
      <c r="I39" s="986"/>
      <c r="J39" s="986"/>
      <c r="K39" s="986"/>
      <c r="L39" s="986"/>
      <c r="M39" s="988">
        <f>M41+M42+M40</f>
        <v>0</v>
      </c>
      <c r="N39" s="3607"/>
    </row>
    <row r="40" spans="1:15" s="213" customFormat="1" ht="12.95" hidden="1" customHeight="1">
      <c r="A40" s="3626"/>
      <c r="B40" s="989" t="s">
        <v>12</v>
      </c>
      <c r="C40" s="3615"/>
      <c r="D40" s="990"/>
      <c r="E40" s="991"/>
      <c r="F40" s="986"/>
      <c r="G40" s="986"/>
      <c r="H40" s="986"/>
      <c r="I40" s="986"/>
      <c r="J40" s="986"/>
      <c r="K40" s="986"/>
      <c r="L40" s="986"/>
      <c r="M40" s="993">
        <f>SUM(F40:I40)</f>
        <v>0</v>
      </c>
      <c r="N40" s="3607"/>
    </row>
    <row r="41" spans="1:15" s="213" customFormat="1" ht="12.95" hidden="1" customHeight="1">
      <c r="A41" s="3626"/>
      <c r="B41" s="989" t="s">
        <v>21</v>
      </c>
      <c r="C41" s="3615"/>
      <c r="D41" s="990"/>
      <c r="E41" s="991"/>
      <c r="F41" s="987"/>
      <c r="G41" s="987"/>
      <c r="H41" s="987"/>
      <c r="I41" s="987"/>
      <c r="J41" s="987"/>
      <c r="K41" s="987"/>
      <c r="L41" s="987"/>
      <c r="M41" s="993">
        <f>SUM(F41:I41)</f>
        <v>0</v>
      </c>
      <c r="N41" s="3607"/>
    </row>
    <row r="42" spans="1:15" s="213" customFormat="1" ht="12.95" hidden="1" customHeight="1">
      <c r="A42" s="3626"/>
      <c r="B42" s="989" t="s">
        <v>14</v>
      </c>
      <c r="C42" s="3615"/>
      <c r="D42" s="990"/>
      <c r="E42" s="991"/>
      <c r="F42" s="991"/>
      <c r="G42" s="991"/>
      <c r="H42" s="991"/>
      <c r="I42" s="991"/>
      <c r="J42" s="991"/>
      <c r="K42" s="991"/>
      <c r="L42" s="991"/>
      <c r="M42" s="993">
        <f>SUM(F42:I42)</f>
        <v>0</v>
      </c>
      <c r="N42" s="3607"/>
      <c r="O42" s="994"/>
    </row>
    <row r="43" spans="1:15" s="213" customFormat="1" ht="12.95" hidden="1" customHeight="1">
      <c r="A43" s="3626"/>
      <c r="B43" s="626" t="s">
        <v>22</v>
      </c>
      <c r="C43" s="981"/>
      <c r="D43" s="983"/>
      <c r="E43" s="983"/>
      <c r="F43" s="983"/>
      <c r="G43" s="983"/>
      <c r="H43" s="983"/>
      <c r="I43" s="983"/>
      <c r="J43" s="983"/>
      <c r="K43" s="983"/>
      <c r="L43" s="983"/>
      <c r="M43" s="3351" t="s">
        <v>61</v>
      </c>
      <c r="N43" s="3607"/>
    </row>
    <row r="44" spans="1:15" s="213" customFormat="1" ht="12.95" hidden="1" customHeight="1">
      <c r="A44" s="3626"/>
      <c r="B44" s="985" t="s">
        <v>11</v>
      </c>
      <c r="C44" s="3615"/>
      <c r="D44" s="987"/>
      <c r="E44" s="987"/>
      <c r="F44" s="987"/>
      <c r="G44" s="987"/>
      <c r="H44" s="987"/>
      <c r="I44" s="987"/>
      <c r="J44" s="987"/>
      <c r="K44" s="987"/>
      <c r="L44" s="987"/>
      <c r="M44" s="3351"/>
      <c r="N44" s="3607"/>
    </row>
    <row r="45" spans="1:15" s="213" customFormat="1" ht="12.95" hidden="1" customHeight="1">
      <c r="A45" s="3626"/>
      <c r="B45" s="995" t="s">
        <v>13</v>
      </c>
      <c r="C45" s="3615"/>
      <c r="D45" s="990"/>
      <c r="E45" s="991"/>
      <c r="F45" s="987"/>
      <c r="G45" s="987"/>
      <c r="H45" s="987"/>
      <c r="I45" s="987"/>
      <c r="J45" s="987"/>
      <c r="K45" s="987"/>
      <c r="L45" s="987"/>
      <c r="M45" s="3351"/>
      <c r="N45" s="3607"/>
    </row>
    <row r="46" spans="1:15" s="213" customFormat="1" ht="12.95" hidden="1" customHeight="1">
      <c r="A46" s="3626"/>
      <c r="B46" s="989" t="s">
        <v>14</v>
      </c>
      <c r="C46" s="3615"/>
      <c r="D46" s="990"/>
      <c r="E46" s="991"/>
      <c r="F46" s="991"/>
      <c r="G46" s="991"/>
      <c r="H46" s="991"/>
      <c r="I46" s="991"/>
      <c r="J46" s="991"/>
      <c r="K46" s="991"/>
      <c r="L46" s="991"/>
      <c r="M46" s="3351"/>
      <c r="N46" s="3607"/>
    </row>
    <row r="47" spans="1:15" s="213" customFormat="1" ht="12.75" hidden="1" customHeight="1">
      <c r="A47" s="3626"/>
      <c r="B47" s="989" t="s">
        <v>25</v>
      </c>
      <c r="C47" s="3615"/>
      <c r="D47" s="990"/>
      <c r="E47" s="991"/>
      <c r="F47" s="991"/>
      <c r="G47" s="991"/>
      <c r="H47" s="991"/>
      <c r="I47" s="991"/>
      <c r="J47" s="991"/>
      <c r="K47" s="991"/>
      <c r="L47" s="991"/>
      <c r="M47" s="3351"/>
      <c r="N47" s="3607"/>
    </row>
    <row r="48" spans="1:15" s="213" customFormat="1" ht="12.75" hidden="1" customHeight="1">
      <c r="A48" s="3626"/>
      <c r="B48" s="997" t="s">
        <v>18</v>
      </c>
      <c r="C48" s="3615"/>
      <c r="D48" s="987"/>
      <c r="E48" s="987"/>
      <c r="F48" s="987"/>
      <c r="G48" s="987"/>
      <c r="H48" s="987"/>
      <c r="I48" s="987"/>
      <c r="J48" s="987"/>
      <c r="K48" s="987"/>
      <c r="L48" s="987"/>
      <c r="M48" s="3351"/>
      <c r="N48" s="3607"/>
    </row>
    <row r="49" spans="1:14" s="213" customFormat="1" ht="12.95" hidden="1" customHeight="1">
      <c r="A49" s="3626"/>
      <c r="B49" s="995" t="s">
        <v>21</v>
      </c>
      <c r="C49" s="3615"/>
      <c r="D49" s="990"/>
      <c r="E49" s="991"/>
      <c r="F49" s="987"/>
      <c r="G49" s="987"/>
      <c r="H49" s="987"/>
      <c r="I49" s="987"/>
      <c r="J49" s="987"/>
      <c r="K49" s="987"/>
      <c r="L49" s="987"/>
      <c r="M49" s="3351"/>
      <c r="N49" s="3607"/>
    </row>
    <row r="50" spans="1:14" s="213" customFormat="1" ht="12.95" hidden="1" customHeight="1">
      <c r="A50" s="3626"/>
      <c r="B50" s="989" t="s">
        <v>14</v>
      </c>
      <c r="C50" s="3615"/>
      <c r="D50" s="990"/>
      <c r="E50" s="991"/>
      <c r="F50" s="991"/>
      <c r="G50" s="991"/>
      <c r="H50" s="991"/>
      <c r="I50" s="991"/>
      <c r="J50" s="991"/>
      <c r="K50" s="991"/>
      <c r="L50" s="991"/>
      <c r="M50" s="3351"/>
      <c r="N50" s="3607"/>
    </row>
    <row r="51" spans="1:14" s="213" customFormat="1" ht="12.95" hidden="1" customHeight="1" thickBot="1">
      <c r="A51" s="3654"/>
      <c r="B51" s="1003" t="s">
        <v>20</v>
      </c>
      <c r="C51" s="3655"/>
      <c r="D51" s="1004"/>
      <c r="E51" s="1006"/>
      <c r="F51" s="1005"/>
      <c r="G51" s="1005"/>
      <c r="H51" s="1005"/>
      <c r="I51" s="1005"/>
      <c r="J51" s="1005"/>
      <c r="K51" s="1005"/>
      <c r="L51" s="1005"/>
      <c r="M51" s="2727"/>
      <c r="N51" s="3630"/>
    </row>
    <row r="52" spans="1:14" s="213" customFormat="1" ht="24" hidden="1">
      <c r="A52" s="3626" t="s">
        <v>64</v>
      </c>
      <c r="B52" s="1007"/>
      <c r="C52" s="1008" t="s">
        <v>81</v>
      </c>
      <c r="D52" s="1008"/>
      <c r="E52" s="94"/>
      <c r="F52" s="94"/>
      <c r="G52" s="94"/>
      <c r="H52" s="94"/>
      <c r="I52" s="94"/>
      <c r="J52" s="94"/>
      <c r="K52" s="94"/>
      <c r="L52" s="94"/>
      <c r="M52" s="1009"/>
      <c r="N52" s="3607" t="s">
        <v>175</v>
      </c>
    </row>
    <row r="53" spans="1:14" s="213" customFormat="1" ht="12.95" hidden="1" customHeight="1">
      <c r="A53" s="3626"/>
      <c r="B53" s="626" t="s">
        <v>10</v>
      </c>
      <c r="C53" s="981"/>
      <c r="D53" s="982"/>
      <c r="E53" s="983"/>
      <c r="F53" s="983"/>
      <c r="G53" s="983"/>
      <c r="H53" s="983"/>
      <c r="I53" s="983"/>
      <c r="J53" s="983"/>
      <c r="K53" s="983"/>
      <c r="L53" s="983"/>
      <c r="M53" s="1011">
        <f>+M54+M57</f>
        <v>0</v>
      </c>
      <c r="N53" s="3607"/>
    </row>
    <row r="54" spans="1:14" s="213" customFormat="1" ht="12.95" hidden="1" customHeight="1">
      <c r="A54" s="3626"/>
      <c r="B54" s="985" t="s">
        <v>11</v>
      </c>
      <c r="C54" s="3615" t="s">
        <v>176</v>
      </c>
      <c r="D54" s="986"/>
      <c r="E54" s="986"/>
      <c r="F54" s="986"/>
      <c r="G54" s="986"/>
      <c r="H54" s="986"/>
      <c r="I54" s="986"/>
      <c r="J54" s="986"/>
      <c r="K54" s="986"/>
      <c r="L54" s="986"/>
      <c r="M54" s="1013">
        <f>+M55</f>
        <v>0</v>
      </c>
      <c r="N54" s="3607"/>
    </row>
    <row r="55" spans="1:14" s="213" customFormat="1" ht="11.25" hidden="1" customHeight="1">
      <c r="A55" s="3626"/>
      <c r="B55" s="995" t="s">
        <v>13</v>
      </c>
      <c r="C55" s="3615"/>
      <c r="D55" s="990"/>
      <c r="E55" s="991"/>
      <c r="F55" s="991"/>
      <c r="G55" s="991"/>
      <c r="H55" s="991"/>
      <c r="I55" s="991"/>
      <c r="J55" s="991"/>
      <c r="K55" s="991"/>
      <c r="L55" s="991"/>
      <c r="M55" s="1015">
        <f>SUM(F55:L55)</f>
        <v>0</v>
      </c>
      <c r="N55" s="3607"/>
    </row>
    <row r="56" spans="1:14" s="213" customFormat="1" ht="12.95" hidden="1" customHeight="1">
      <c r="A56" s="3626"/>
      <c r="B56" s="989" t="s">
        <v>14</v>
      </c>
      <c r="C56" s="3615"/>
      <c r="D56" s="990"/>
      <c r="E56" s="991"/>
      <c r="F56" s="996"/>
      <c r="G56" s="996"/>
      <c r="H56" s="996"/>
      <c r="I56" s="996"/>
      <c r="J56" s="996"/>
      <c r="K56" s="996"/>
      <c r="L56" s="996"/>
      <c r="M56" s="1015">
        <f>SUM(F56:L56)</f>
        <v>0</v>
      </c>
      <c r="N56" s="3607"/>
    </row>
    <row r="57" spans="1:14" s="213" customFormat="1" ht="12" hidden="1" customHeight="1">
      <c r="A57" s="3626"/>
      <c r="B57" s="997" t="s">
        <v>18</v>
      </c>
      <c r="C57" s="3615"/>
      <c r="D57" s="986"/>
      <c r="E57" s="986"/>
      <c r="F57" s="986"/>
      <c r="G57" s="986"/>
      <c r="H57" s="986"/>
      <c r="I57" s="986"/>
      <c r="J57" s="986"/>
      <c r="K57" s="986"/>
      <c r="L57" s="986"/>
      <c r="M57" s="1013">
        <f>M58</f>
        <v>0</v>
      </c>
      <c r="N57" s="3607"/>
    </row>
    <row r="58" spans="1:14" s="213" customFormat="1" ht="12.95" hidden="1" customHeight="1">
      <c r="A58" s="3626"/>
      <c r="B58" s="989" t="s">
        <v>21</v>
      </c>
      <c r="C58" s="3615"/>
      <c r="D58" s="990"/>
      <c r="E58" s="991"/>
      <c r="F58" s="987"/>
      <c r="G58" s="987"/>
      <c r="H58" s="987"/>
      <c r="I58" s="987"/>
      <c r="J58" s="987"/>
      <c r="K58" s="987"/>
      <c r="L58" s="987"/>
      <c r="M58" s="1015">
        <f>SUM(F58:L58)</f>
        <v>0</v>
      </c>
      <c r="N58" s="3607"/>
    </row>
    <row r="59" spans="1:14" s="213" customFormat="1" ht="12.95" hidden="1" customHeight="1">
      <c r="A59" s="3626"/>
      <c r="B59" s="989" t="s">
        <v>14</v>
      </c>
      <c r="C59" s="2744"/>
      <c r="D59" s="990"/>
      <c r="E59" s="991"/>
      <c r="F59" s="987"/>
      <c r="G59" s="987"/>
      <c r="H59" s="987"/>
      <c r="I59" s="987"/>
      <c r="J59" s="987"/>
      <c r="K59" s="987"/>
      <c r="L59" s="987"/>
      <c r="M59" s="1015">
        <f>SUM(F59:L59)</f>
        <v>0</v>
      </c>
      <c r="N59" s="3607"/>
    </row>
    <row r="60" spans="1:14" s="213" customFormat="1" ht="12.95" hidden="1" customHeight="1">
      <c r="A60" s="3626"/>
      <c r="B60" s="626" t="s">
        <v>22</v>
      </c>
      <c r="C60" s="981"/>
      <c r="D60" s="983"/>
      <c r="E60" s="983"/>
      <c r="F60" s="983"/>
      <c r="G60" s="983"/>
      <c r="H60" s="983"/>
      <c r="I60" s="983"/>
      <c r="J60" s="983"/>
      <c r="K60" s="983"/>
      <c r="L60" s="983"/>
      <c r="M60" s="3351" t="s">
        <v>61</v>
      </c>
      <c r="N60" s="3607"/>
    </row>
    <row r="61" spans="1:14" s="213" customFormat="1" ht="12.95" hidden="1" customHeight="1">
      <c r="A61" s="3626"/>
      <c r="B61" s="985" t="s">
        <v>11</v>
      </c>
      <c r="C61" s="3615" t="s">
        <v>176</v>
      </c>
      <c r="D61" s="987"/>
      <c r="E61" s="987"/>
      <c r="F61" s="987"/>
      <c r="G61" s="987"/>
      <c r="H61" s="987"/>
      <c r="I61" s="987"/>
      <c r="J61" s="987"/>
      <c r="K61" s="987"/>
      <c r="L61" s="987"/>
      <c r="M61" s="3351"/>
      <c r="N61" s="3607"/>
    </row>
    <row r="62" spans="1:14" s="213" customFormat="1" ht="12.95" hidden="1" customHeight="1">
      <c r="A62" s="3626"/>
      <c r="B62" s="995" t="s">
        <v>13</v>
      </c>
      <c r="C62" s="3615"/>
      <c r="D62" s="990"/>
      <c r="E62" s="991"/>
      <c r="F62" s="987"/>
      <c r="G62" s="986"/>
      <c r="H62" s="986"/>
      <c r="I62" s="986"/>
      <c r="J62" s="986"/>
      <c r="K62" s="986"/>
      <c r="L62" s="986"/>
      <c r="M62" s="3351"/>
      <c r="N62" s="3607"/>
    </row>
    <row r="63" spans="1:14" s="213" customFormat="1" ht="11.25" hidden="1" customHeight="1">
      <c r="A63" s="3626"/>
      <c r="B63" s="989" t="s">
        <v>14</v>
      </c>
      <c r="C63" s="3615"/>
      <c r="D63" s="990"/>
      <c r="E63" s="991"/>
      <c r="F63" s="987"/>
      <c r="G63" s="987"/>
      <c r="H63" s="987"/>
      <c r="I63" s="987"/>
      <c r="J63" s="987"/>
      <c r="K63" s="987"/>
      <c r="L63" s="987"/>
      <c r="M63" s="3351"/>
      <c r="N63" s="3607"/>
    </row>
    <row r="64" spans="1:14" s="213" customFormat="1" ht="12.95" hidden="1" customHeight="1">
      <c r="A64" s="3626"/>
      <c r="B64" s="997" t="s">
        <v>18</v>
      </c>
      <c r="C64" s="3615"/>
      <c r="D64" s="987"/>
      <c r="E64" s="987"/>
      <c r="F64" s="987"/>
      <c r="G64" s="987"/>
      <c r="H64" s="987"/>
      <c r="I64" s="987"/>
      <c r="J64" s="987"/>
      <c r="K64" s="987"/>
      <c r="L64" s="987"/>
      <c r="M64" s="3351"/>
      <c r="N64" s="3607"/>
    </row>
    <row r="65" spans="1:14" s="213" customFormat="1" hidden="1">
      <c r="A65" s="3626"/>
      <c r="B65" s="995" t="s">
        <v>21</v>
      </c>
      <c r="C65" s="3615"/>
      <c r="D65" s="990"/>
      <c r="E65" s="991"/>
      <c r="F65" s="999"/>
      <c r="G65" s="999"/>
      <c r="H65" s="999"/>
      <c r="I65" s="999"/>
      <c r="J65" s="999"/>
      <c r="K65" s="999"/>
      <c r="L65" s="999"/>
      <c r="M65" s="3351"/>
      <c r="N65" s="3607"/>
    </row>
    <row r="66" spans="1:14" s="213" customFormat="1" ht="12.95" hidden="1" customHeight="1">
      <c r="A66" s="2743"/>
      <c r="B66" s="989" t="s">
        <v>14</v>
      </c>
      <c r="C66" s="1018"/>
      <c r="D66" s="990"/>
      <c r="E66" s="991"/>
      <c r="F66" s="1000"/>
      <c r="G66" s="1000"/>
      <c r="H66" s="1000"/>
      <c r="I66" s="1000"/>
      <c r="J66" s="1000"/>
      <c r="K66" s="1000"/>
      <c r="L66" s="1000"/>
      <c r="M66" s="2726"/>
      <c r="N66" s="3622"/>
    </row>
    <row r="67" spans="1:14" s="1024" customFormat="1" ht="32.25" hidden="1" customHeight="1">
      <c r="A67" s="3601" t="s">
        <v>63</v>
      </c>
      <c r="B67" s="1019" t="s">
        <v>465</v>
      </c>
      <c r="C67" s="1020" t="s">
        <v>81</v>
      </c>
      <c r="D67" s="1020"/>
      <c r="E67" s="1021"/>
      <c r="F67" s="1022"/>
      <c r="G67" s="1022"/>
      <c r="H67" s="1022"/>
      <c r="I67" s="1022"/>
      <c r="J67" s="1022"/>
      <c r="K67" s="1022"/>
      <c r="L67" s="1022"/>
      <c r="M67" s="1023"/>
      <c r="N67" s="3629" t="s">
        <v>374</v>
      </c>
    </row>
    <row r="68" spans="1:14" s="1029" customFormat="1" ht="15.75" hidden="1" customHeight="1">
      <c r="A68" s="3601"/>
      <c r="B68" s="626" t="s">
        <v>10</v>
      </c>
      <c r="C68" s="981"/>
      <c r="D68" s="1025"/>
      <c r="E68" s="1027"/>
      <c r="F68" s="983"/>
      <c r="G68" s="983"/>
      <c r="H68" s="983"/>
      <c r="I68" s="983"/>
      <c r="J68" s="983"/>
      <c r="K68" s="983"/>
      <c r="L68" s="983"/>
      <c r="M68" s="1028">
        <f>+M69+M71</f>
        <v>0</v>
      </c>
      <c r="N68" s="3607"/>
    </row>
    <row r="69" spans="1:14" s="1029" customFormat="1" ht="12.75" hidden="1" customHeight="1">
      <c r="A69" s="3601"/>
      <c r="B69" s="1030" t="s">
        <v>11</v>
      </c>
      <c r="C69" s="3641" t="s">
        <v>178</v>
      </c>
      <c r="D69" s="987"/>
      <c r="E69" s="987"/>
      <c r="F69" s="987"/>
      <c r="G69" s="987"/>
      <c r="H69" s="987"/>
      <c r="I69" s="987"/>
      <c r="J69" s="987"/>
      <c r="K69" s="987"/>
      <c r="L69" s="987"/>
      <c r="M69" s="1031">
        <f>M70</f>
        <v>0</v>
      </c>
      <c r="N69" s="3607"/>
    </row>
    <row r="70" spans="1:14" s="1029" customFormat="1" ht="12.75" hidden="1" customHeight="1">
      <c r="A70" s="3601"/>
      <c r="B70" s="1032" t="s">
        <v>62</v>
      </c>
      <c r="C70" s="3642"/>
      <c r="D70" s="1332"/>
      <c r="E70" s="1333"/>
      <c r="F70" s="1034"/>
      <c r="G70" s="1034"/>
      <c r="H70" s="1034"/>
      <c r="I70" s="1034"/>
      <c r="J70" s="1034"/>
      <c r="K70" s="1034"/>
      <c r="L70" s="1034"/>
      <c r="M70" s="1035">
        <f>SUM(F70:L70)</f>
        <v>0</v>
      </c>
      <c r="N70" s="3607"/>
    </row>
    <row r="71" spans="1:14" s="1029" customFormat="1" ht="12.75" hidden="1" customHeight="1">
      <c r="A71" s="3601"/>
      <c r="B71" s="997" t="s">
        <v>18</v>
      </c>
      <c r="C71" s="3642"/>
      <c r="D71" s="986"/>
      <c r="E71" s="987"/>
      <c r="F71" s="986"/>
      <c r="G71" s="986"/>
      <c r="H71" s="986"/>
      <c r="I71" s="986"/>
      <c r="J71" s="986"/>
      <c r="K71" s="986"/>
      <c r="L71" s="986"/>
      <c r="M71" s="1031">
        <f>M72</f>
        <v>0</v>
      </c>
      <c r="N71" s="3607"/>
    </row>
    <row r="72" spans="1:14" s="1029" customFormat="1" ht="12.75" hidden="1" customHeight="1">
      <c r="A72" s="3601"/>
      <c r="B72" s="1032" t="s">
        <v>20</v>
      </c>
      <c r="C72" s="3642"/>
      <c r="D72" s="1332"/>
      <c r="E72" s="1333"/>
      <c r="F72" s="999"/>
      <c r="G72" s="999"/>
      <c r="H72" s="999"/>
      <c r="I72" s="999"/>
      <c r="J72" s="999"/>
      <c r="K72" s="999"/>
      <c r="L72" s="999"/>
      <c r="M72" s="1035">
        <f>SUM(F72:L72)</f>
        <v>0</v>
      </c>
      <c r="N72" s="3607"/>
    </row>
    <row r="73" spans="1:14" s="1029" customFormat="1" ht="15.75" hidden="1" customHeight="1">
      <c r="A73" s="3601"/>
      <c r="B73" s="626" t="s">
        <v>22</v>
      </c>
      <c r="C73" s="981"/>
      <c r="D73" s="1025"/>
      <c r="E73" s="1027"/>
      <c r="F73" s="983"/>
      <c r="G73" s="983"/>
      <c r="H73" s="983"/>
      <c r="I73" s="983"/>
      <c r="J73" s="983"/>
      <c r="K73" s="983"/>
      <c r="L73" s="983"/>
      <c r="M73" s="3643" t="s">
        <v>61</v>
      </c>
      <c r="N73" s="3607"/>
    </row>
    <row r="74" spans="1:14" s="1029" customFormat="1" ht="13.5" hidden="1" customHeight="1">
      <c r="A74" s="3601"/>
      <c r="B74" s="1030" t="s">
        <v>11</v>
      </c>
      <c r="C74" s="3641" t="s">
        <v>178</v>
      </c>
      <c r="D74" s="987"/>
      <c r="E74" s="987"/>
      <c r="F74" s="987"/>
      <c r="G74" s="987"/>
      <c r="H74" s="987"/>
      <c r="I74" s="987"/>
      <c r="J74" s="987"/>
      <c r="K74" s="987"/>
      <c r="L74" s="987"/>
      <c r="M74" s="3643"/>
      <c r="N74" s="3607"/>
    </row>
    <row r="75" spans="1:14" s="1029" customFormat="1" ht="13.5" hidden="1" customHeight="1">
      <c r="A75" s="3601"/>
      <c r="B75" s="1032" t="s">
        <v>16</v>
      </c>
      <c r="C75" s="3642"/>
      <c r="D75" s="1332"/>
      <c r="E75" s="1333"/>
      <c r="F75" s="1034"/>
      <c r="G75" s="1034"/>
      <c r="H75" s="1034"/>
      <c r="I75" s="1034"/>
      <c r="J75" s="1034"/>
      <c r="K75" s="1034"/>
      <c r="L75" s="1034"/>
      <c r="M75" s="3643"/>
      <c r="N75" s="3607"/>
    </row>
    <row r="76" spans="1:14" s="1029" customFormat="1" ht="13.5" hidden="1" customHeight="1">
      <c r="A76" s="3601"/>
      <c r="B76" s="1036" t="s">
        <v>18</v>
      </c>
      <c r="C76" s="3642"/>
      <c r="D76" s="987"/>
      <c r="E76" s="987"/>
      <c r="F76" s="987"/>
      <c r="G76" s="987"/>
      <c r="H76" s="987"/>
      <c r="I76" s="987"/>
      <c r="J76" s="987"/>
      <c r="K76" s="987"/>
      <c r="L76" s="987"/>
      <c r="M76" s="3643"/>
      <c r="N76" s="3607"/>
    </row>
    <row r="77" spans="1:14" s="1029" customFormat="1" ht="13.5" hidden="1" customHeight="1" thickBot="1">
      <c r="A77" s="3604"/>
      <c r="B77" s="84" t="s">
        <v>20</v>
      </c>
      <c r="C77" s="3638"/>
      <c r="D77" s="1340"/>
      <c r="E77" s="1341"/>
      <c r="F77" s="1037"/>
      <c r="G77" s="1038"/>
      <c r="H77" s="1038"/>
      <c r="I77" s="1038"/>
      <c r="J77" s="1038"/>
      <c r="K77" s="1038"/>
      <c r="L77" s="1038"/>
      <c r="M77" s="3640"/>
      <c r="N77" s="3630"/>
    </row>
    <row r="78" spans="1:14" s="1024" customFormat="1" ht="33.75" customHeight="1">
      <c r="A78" s="3632" t="s">
        <v>63</v>
      </c>
      <c r="B78" s="1818" t="s">
        <v>426</v>
      </c>
      <c r="C78" s="1819" t="s">
        <v>81</v>
      </c>
      <c r="D78" s="1819"/>
      <c r="E78" s="67"/>
      <c r="F78" s="1820"/>
      <c r="G78" s="1820"/>
      <c r="H78" s="1820"/>
      <c r="I78" s="1820"/>
      <c r="J78" s="1820"/>
      <c r="K78" s="1820"/>
      <c r="L78" s="1820"/>
      <c r="M78" s="1821"/>
      <c r="N78" s="3633" t="s">
        <v>374</v>
      </c>
    </row>
    <row r="79" spans="1:14" s="1024" customFormat="1" ht="14.25" customHeight="1">
      <c r="A79" s="3601"/>
      <c r="B79" s="626" t="s">
        <v>10</v>
      </c>
      <c r="C79" s="2815"/>
      <c r="D79" s="2816">
        <f t="shared" ref="D79" si="45">+D80+D82</f>
        <v>19723223</v>
      </c>
      <c r="E79" s="2817">
        <f t="shared" ref="E79" si="46">+E80+E82</f>
        <v>8982580</v>
      </c>
      <c r="F79" s="1956">
        <f>+F80+F82</f>
        <v>6133675</v>
      </c>
      <c r="G79" s="1956">
        <f>+G80+G82</f>
        <v>3377928</v>
      </c>
      <c r="H79" s="1956">
        <f>+H80+H82</f>
        <v>1229040</v>
      </c>
      <c r="I79" s="2024"/>
      <c r="J79" s="2024"/>
      <c r="K79" s="2024"/>
      <c r="L79" s="2024"/>
      <c r="M79" s="1963">
        <f>+M80+M82</f>
        <v>10740643</v>
      </c>
      <c r="N79" s="3607"/>
    </row>
    <row r="80" spans="1:14" s="1024" customFormat="1" ht="14.25" customHeight="1">
      <c r="A80" s="3601"/>
      <c r="B80" s="985" t="s">
        <v>11</v>
      </c>
      <c r="C80" s="3634" t="s">
        <v>178</v>
      </c>
      <c r="D80" s="1965">
        <f>D81</f>
        <v>9342571</v>
      </c>
      <c r="E80" s="2818">
        <f t="shared" ref="E80" si="47">E81</f>
        <v>2196030</v>
      </c>
      <c r="F80" s="1964">
        <f>F81</f>
        <v>5026915</v>
      </c>
      <c r="G80" s="1964">
        <f>G81</f>
        <v>1438588</v>
      </c>
      <c r="H80" s="1964">
        <f>H81</f>
        <v>681038</v>
      </c>
      <c r="I80" s="1965"/>
      <c r="J80" s="1965"/>
      <c r="K80" s="1965"/>
      <c r="L80" s="1965"/>
      <c r="M80" s="1966">
        <f>M81</f>
        <v>7146541</v>
      </c>
      <c r="N80" s="3607"/>
    </row>
    <row r="81" spans="1:15" s="1041" customFormat="1">
      <c r="A81" s="3601"/>
      <c r="B81" s="1040" t="s">
        <v>62</v>
      </c>
      <c r="C81" s="3635"/>
      <c r="D81" s="2819">
        <f>E81+F81+G81+H81+I81+J81+K81+L81</f>
        <v>9342571</v>
      </c>
      <c r="E81" s="2436">
        <v>2196030</v>
      </c>
      <c r="F81" s="2436">
        <f>260379+120178+1+1420927+3225430</f>
        <v>5026915</v>
      </c>
      <c r="G81" s="2436">
        <v>1438588</v>
      </c>
      <c r="H81" s="2436">
        <v>681038</v>
      </c>
      <c r="I81" s="2820"/>
      <c r="J81" s="2820"/>
      <c r="K81" s="2820"/>
      <c r="L81" s="2820"/>
      <c r="M81" s="2799">
        <f>SUM(F81:L81)</f>
        <v>7146541</v>
      </c>
      <c r="N81" s="3607"/>
    </row>
    <row r="82" spans="1:15" s="1024" customFormat="1" ht="14.25" customHeight="1">
      <c r="A82" s="3601"/>
      <c r="B82" s="997" t="s">
        <v>18</v>
      </c>
      <c r="C82" s="3636"/>
      <c r="D82" s="2821">
        <f>D83</f>
        <v>10380652</v>
      </c>
      <c r="E82" s="2822">
        <f t="shared" ref="E82:H82" si="48">E83</f>
        <v>6786550</v>
      </c>
      <c r="F82" s="2823">
        <f t="shared" si="48"/>
        <v>1106760</v>
      </c>
      <c r="G82" s="2823">
        <f t="shared" si="48"/>
        <v>1939340</v>
      </c>
      <c r="H82" s="2823">
        <f t="shared" si="48"/>
        <v>548002</v>
      </c>
      <c r="I82" s="2821"/>
      <c r="J82" s="2821"/>
      <c r="K82" s="2821"/>
      <c r="L82" s="2821"/>
      <c r="M82" s="2824">
        <f>M83</f>
        <v>3594102</v>
      </c>
      <c r="N82" s="3607"/>
    </row>
    <row r="83" spans="1:15" s="1024" customFormat="1">
      <c r="A83" s="3601"/>
      <c r="B83" s="989" t="s">
        <v>20</v>
      </c>
      <c r="C83" s="3636"/>
      <c r="D83" s="2819">
        <f>E83+F83+G83+H83+I83+J83+K83+L83</f>
        <v>10380652</v>
      </c>
      <c r="E83" s="2436">
        <v>6786550</v>
      </c>
      <c r="F83" s="2825">
        <f>139157+4982+2237372-1274751</f>
        <v>1106760</v>
      </c>
      <c r="G83" s="2825">
        <f>1780473+158867</f>
        <v>1939340</v>
      </c>
      <c r="H83" s="2825">
        <v>548002</v>
      </c>
      <c r="I83" s="2826"/>
      <c r="J83" s="2826"/>
      <c r="K83" s="2826"/>
      <c r="L83" s="2826"/>
      <c r="M83" s="2827">
        <f>SUM(F83:L83)</f>
        <v>3594102</v>
      </c>
      <c r="N83" s="3607"/>
    </row>
    <row r="84" spans="1:15" s="1043" customFormat="1" ht="14.25" customHeight="1">
      <c r="A84" s="3601"/>
      <c r="B84" s="626" t="s">
        <v>22</v>
      </c>
      <c r="C84" s="2828"/>
      <c r="D84" s="2829">
        <f t="shared" ref="D84" si="49">+D85+D88</f>
        <v>19723223</v>
      </c>
      <c r="E84" s="2830">
        <f t="shared" ref="E84" si="50">+E85+E88</f>
        <v>11297151</v>
      </c>
      <c r="F84" s="2831">
        <f>+F85+F88</f>
        <v>3442541</v>
      </c>
      <c r="G84" s="2831">
        <f>+G85+G88</f>
        <v>0</v>
      </c>
      <c r="H84" s="2831">
        <f>+H85+H88</f>
        <v>4983531</v>
      </c>
      <c r="I84" s="2831"/>
      <c r="J84" s="2831"/>
      <c r="K84" s="2831"/>
      <c r="L84" s="2831"/>
      <c r="M84" s="3639" t="s">
        <v>61</v>
      </c>
      <c r="N84" s="3607"/>
    </row>
    <row r="85" spans="1:15" s="1024" customFormat="1" ht="14.25" customHeight="1">
      <c r="A85" s="3601"/>
      <c r="B85" s="985" t="s">
        <v>11</v>
      </c>
      <c r="C85" s="3637" t="s">
        <v>178</v>
      </c>
      <c r="D85" s="2832">
        <f>D86</f>
        <v>9342571</v>
      </c>
      <c r="E85" s="2833">
        <f t="shared" ref="E85:H85" si="51">E86</f>
        <v>2196030</v>
      </c>
      <c r="F85" s="2832">
        <f t="shared" si="51"/>
        <v>3442541</v>
      </c>
      <c r="G85" s="2832">
        <f t="shared" si="51"/>
        <v>0</v>
      </c>
      <c r="H85" s="2832">
        <f t="shared" si="51"/>
        <v>3704000</v>
      </c>
      <c r="I85" s="2832"/>
      <c r="J85" s="2832"/>
      <c r="K85" s="2832"/>
      <c r="L85" s="2832"/>
      <c r="M85" s="3639"/>
      <c r="N85" s="3607"/>
    </row>
    <row r="86" spans="1:15" s="1024" customFormat="1" ht="12.75" customHeight="1">
      <c r="A86" s="3601"/>
      <c r="B86" s="989" t="s">
        <v>16</v>
      </c>
      <c r="C86" s="3636"/>
      <c r="D86" s="2819">
        <f>E86+F86+G86+H86+I86+J86+K86+L86</f>
        <v>9342571</v>
      </c>
      <c r="E86" s="2436">
        <v>2196030</v>
      </c>
      <c r="F86" s="2834">
        <f>3442541</f>
        <v>3442541</v>
      </c>
      <c r="G86" s="2834">
        <f>3704000-3704000</f>
        <v>0</v>
      </c>
      <c r="H86" s="2834">
        <v>3704000</v>
      </c>
      <c r="I86" s="2834"/>
      <c r="J86" s="2834"/>
      <c r="K86" s="2834"/>
      <c r="L86" s="2834"/>
      <c r="M86" s="3639"/>
      <c r="N86" s="3607"/>
    </row>
    <row r="87" spans="1:15" s="1024" customFormat="1" ht="14.25" customHeight="1">
      <c r="A87" s="3601"/>
      <c r="B87" s="997" t="s">
        <v>18</v>
      </c>
      <c r="C87" s="3636"/>
      <c r="D87" s="2832">
        <f>D88</f>
        <v>10380652</v>
      </c>
      <c r="E87" s="2833">
        <f t="shared" ref="E87:H87" si="52">E88</f>
        <v>9101121</v>
      </c>
      <c r="F87" s="2832">
        <f t="shared" si="52"/>
        <v>0</v>
      </c>
      <c r="G87" s="2832">
        <f t="shared" si="52"/>
        <v>0</v>
      </c>
      <c r="H87" s="2832">
        <f t="shared" si="52"/>
        <v>1279531</v>
      </c>
      <c r="I87" s="2832"/>
      <c r="J87" s="2832"/>
      <c r="K87" s="2832"/>
      <c r="L87" s="2832"/>
      <c r="M87" s="3639"/>
      <c r="N87" s="3607"/>
    </row>
    <row r="88" spans="1:15" s="1024" customFormat="1" ht="12.75" thickBot="1">
      <c r="A88" s="3604"/>
      <c r="B88" s="90" t="s">
        <v>20</v>
      </c>
      <c r="C88" s="3638"/>
      <c r="D88" s="1336">
        <f>E88+F88+G88+H88+I88+J88+K88+L88</f>
        <v>10380652</v>
      </c>
      <c r="E88" s="1340">
        <v>9101121</v>
      </c>
      <c r="F88" s="1006">
        <v>0</v>
      </c>
      <c r="G88" s="1832">
        <f>1569940-1569940</f>
        <v>0</v>
      </c>
      <c r="H88" s="1832">
        <v>1279531</v>
      </c>
      <c r="I88" s="1832"/>
      <c r="J88" s="1832"/>
      <c r="K88" s="1832"/>
      <c r="L88" s="1832"/>
      <c r="M88" s="3640"/>
      <c r="N88" s="3630"/>
    </row>
    <row r="89" spans="1:15" s="476" customFormat="1" hidden="1">
      <c r="A89" s="3601"/>
      <c r="B89" s="1007"/>
      <c r="C89" s="1044" t="s">
        <v>81</v>
      </c>
      <c r="D89" s="1044"/>
      <c r="E89" s="1045"/>
      <c r="F89" s="94"/>
      <c r="G89" s="94"/>
      <c r="H89" s="94"/>
      <c r="I89" s="94"/>
      <c r="J89" s="94"/>
      <c r="K89" s="94"/>
      <c r="L89" s="94"/>
      <c r="M89" s="1009"/>
      <c r="N89" s="3607" t="s">
        <v>177</v>
      </c>
    </row>
    <row r="90" spans="1:15" s="940" customFormat="1" ht="13.5" hidden="1" customHeight="1">
      <c r="A90" s="3601"/>
      <c r="B90" s="626" t="s">
        <v>10</v>
      </c>
      <c r="C90" s="981"/>
      <c r="D90" s="1025"/>
      <c r="E90" s="1027"/>
      <c r="F90" s="983"/>
      <c r="G90" s="983"/>
      <c r="H90" s="983"/>
      <c r="I90" s="983"/>
      <c r="J90" s="983"/>
      <c r="K90" s="983"/>
      <c r="L90" s="983"/>
      <c r="M90" s="984">
        <f>+M91+M93</f>
        <v>0</v>
      </c>
      <c r="N90" s="3607"/>
    </row>
    <row r="91" spans="1:15" s="940" customFormat="1" ht="13.5" hidden="1" customHeight="1">
      <c r="A91" s="3601"/>
      <c r="B91" s="985" t="s">
        <v>11</v>
      </c>
      <c r="C91" s="3615" t="s">
        <v>178</v>
      </c>
      <c r="D91" s="1042"/>
      <c r="E91" s="1039"/>
      <c r="F91" s="987"/>
      <c r="G91" s="987"/>
      <c r="H91" s="987"/>
      <c r="I91" s="987"/>
      <c r="J91" s="987"/>
      <c r="K91" s="987"/>
      <c r="L91" s="987"/>
      <c r="M91" s="988">
        <f t="shared" ref="M91" si="53">SUM(M92:M92)</f>
        <v>0</v>
      </c>
      <c r="N91" s="3607"/>
    </row>
    <row r="92" spans="1:15" s="476" customFormat="1" hidden="1">
      <c r="A92" s="3601"/>
      <c r="B92" s="989" t="s">
        <v>14</v>
      </c>
      <c r="C92" s="3615"/>
      <c r="D92" s="990"/>
      <c r="E92" s="991"/>
      <c r="F92" s="991"/>
      <c r="G92" s="991"/>
      <c r="H92" s="991"/>
      <c r="I92" s="991"/>
      <c r="J92" s="991"/>
      <c r="K92" s="991"/>
      <c r="L92" s="991"/>
      <c r="M92" s="993">
        <f>SUM(F92:I92)</f>
        <v>0</v>
      </c>
      <c r="N92" s="3607"/>
    </row>
    <row r="93" spans="1:15" s="476" customFormat="1" ht="13.5" hidden="1" customHeight="1">
      <c r="A93" s="3601"/>
      <c r="B93" s="997" t="s">
        <v>18</v>
      </c>
      <c r="C93" s="3615"/>
      <c r="D93" s="1042"/>
      <c r="E93" s="986"/>
      <c r="F93" s="987"/>
      <c r="G93" s="987"/>
      <c r="H93" s="987"/>
      <c r="I93" s="987"/>
      <c r="J93" s="987"/>
      <c r="K93" s="987"/>
      <c r="L93" s="987"/>
      <c r="M93" s="988">
        <f>+M94</f>
        <v>0</v>
      </c>
      <c r="N93" s="3607"/>
    </row>
    <row r="94" spans="1:15" s="476" customFormat="1" ht="13.5" hidden="1" customHeight="1">
      <c r="A94" s="3601"/>
      <c r="B94" s="989" t="s">
        <v>21</v>
      </c>
      <c r="C94" s="3615"/>
      <c r="D94" s="990"/>
      <c r="E94" s="991"/>
      <c r="F94" s="991"/>
      <c r="G94" s="991"/>
      <c r="H94" s="991"/>
      <c r="I94" s="991"/>
      <c r="J94" s="991"/>
      <c r="K94" s="991"/>
      <c r="L94" s="991"/>
      <c r="M94" s="993">
        <f>SUM(F94:I94)</f>
        <v>0</v>
      </c>
      <c r="N94" s="3607"/>
    </row>
    <row r="95" spans="1:15" s="476" customFormat="1" ht="12" hidden="1" customHeight="1">
      <c r="A95" s="3601"/>
      <c r="B95" s="989" t="s">
        <v>14</v>
      </c>
      <c r="C95" s="3615"/>
      <c r="D95" s="990"/>
      <c r="E95" s="991"/>
      <c r="F95" s="991"/>
      <c r="G95" s="991"/>
      <c r="H95" s="991"/>
      <c r="I95" s="991"/>
      <c r="J95" s="991"/>
      <c r="K95" s="991"/>
      <c r="L95" s="991"/>
      <c r="M95" s="993">
        <f>SUM(F95:I95)</f>
        <v>0</v>
      </c>
      <c r="N95" s="3607"/>
    </row>
    <row r="96" spans="1:15" s="476" customFormat="1" ht="13.5" hidden="1" customHeight="1">
      <c r="A96" s="3601"/>
      <c r="B96" s="626" t="s">
        <v>22</v>
      </c>
      <c r="C96" s="981"/>
      <c r="D96" s="1027"/>
      <c r="E96" s="1027"/>
      <c r="F96" s="983"/>
      <c r="G96" s="983"/>
      <c r="H96" s="983"/>
      <c r="I96" s="983"/>
      <c r="J96" s="983"/>
      <c r="K96" s="983"/>
      <c r="L96" s="983"/>
      <c r="M96" s="3351" t="s">
        <v>61</v>
      </c>
      <c r="N96" s="3607"/>
      <c r="O96" s="1046"/>
    </row>
    <row r="97" spans="1:18" s="1024" customFormat="1" ht="14.25" hidden="1" customHeight="1">
      <c r="A97" s="3601"/>
      <c r="B97" s="985" t="s">
        <v>11</v>
      </c>
      <c r="C97" s="3615" t="s">
        <v>178</v>
      </c>
      <c r="D97" s="1039"/>
      <c r="E97" s="1039"/>
      <c r="F97" s="987"/>
      <c r="G97" s="987"/>
      <c r="H97" s="987"/>
      <c r="I97" s="987"/>
      <c r="J97" s="987"/>
      <c r="K97" s="987"/>
      <c r="L97" s="987"/>
      <c r="M97" s="3351"/>
      <c r="N97" s="3607"/>
      <c r="O97" s="1046"/>
    </row>
    <row r="98" spans="1:18" s="1024" customFormat="1" hidden="1">
      <c r="A98" s="3601"/>
      <c r="B98" s="989" t="s">
        <v>14</v>
      </c>
      <c r="C98" s="3615"/>
      <c r="D98" s="990"/>
      <c r="E98" s="991"/>
      <c r="F98" s="991"/>
      <c r="G98" s="991"/>
      <c r="H98" s="991"/>
      <c r="I98" s="991"/>
      <c r="J98" s="991"/>
      <c r="K98" s="991"/>
      <c r="L98" s="991"/>
      <c r="M98" s="3351"/>
      <c r="N98" s="3607"/>
      <c r="O98" s="1046"/>
    </row>
    <row r="99" spans="1:18" s="1024" customFormat="1" ht="12.75" hidden="1" customHeight="1">
      <c r="A99" s="3601"/>
      <c r="B99" s="997" t="s">
        <v>18</v>
      </c>
      <c r="C99" s="3615"/>
      <c r="D99" s="1039"/>
      <c r="E99" s="987"/>
      <c r="F99" s="987"/>
      <c r="G99" s="987"/>
      <c r="H99" s="987"/>
      <c r="I99" s="987"/>
      <c r="J99" s="987"/>
      <c r="K99" s="987"/>
      <c r="L99" s="987"/>
      <c r="M99" s="3351"/>
      <c r="N99" s="3607"/>
      <c r="O99" s="1046"/>
    </row>
    <row r="100" spans="1:18" s="1024" customFormat="1" ht="12.75" hidden="1" customHeight="1">
      <c r="A100" s="3601"/>
      <c r="B100" s="995" t="s">
        <v>21</v>
      </c>
      <c r="C100" s="3615"/>
      <c r="D100" s="990"/>
      <c r="E100" s="991"/>
      <c r="F100" s="991"/>
      <c r="G100" s="991"/>
      <c r="H100" s="991"/>
      <c r="I100" s="991"/>
      <c r="J100" s="991"/>
      <c r="K100" s="991"/>
      <c r="L100" s="991"/>
      <c r="M100" s="3351"/>
      <c r="N100" s="3607"/>
      <c r="O100" s="1046"/>
    </row>
    <row r="101" spans="1:18" s="1024" customFormat="1" ht="12.75" hidden="1" customHeight="1">
      <c r="A101" s="3601"/>
      <c r="B101" s="989" t="s">
        <v>14</v>
      </c>
      <c r="C101" s="3615"/>
      <c r="D101" s="990"/>
      <c r="E101" s="991"/>
      <c r="F101" s="992"/>
      <c r="G101" s="992"/>
      <c r="H101" s="992"/>
      <c r="I101" s="992"/>
      <c r="J101" s="992"/>
      <c r="K101" s="992"/>
      <c r="L101" s="992"/>
      <c r="M101" s="3351"/>
      <c r="N101" s="3622"/>
      <c r="O101" s="1046"/>
    </row>
    <row r="102" spans="1:18" ht="18.75" hidden="1" customHeight="1">
      <c r="A102" s="3626" t="s">
        <v>65</v>
      </c>
      <c r="B102" s="1019" t="s">
        <v>179</v>
      </c>
      <c r="C102" s="1020" t="s">
        <v>111</v>
      </c>
      <c r="D102" s="1020"/>
      <c r="E102" s="1021"/>
      <c r="F102" s="1021"/>
      <c r="G102" s="1021"/>
      <c r="H102" s="1021"/>
      <c r="I102" s="1021"/>
      <c r="J102" s="1021"/>
      <c r="K102" s="1021"/>
      <c r="L102" s="1021"/>
      <c r="M102" s="1023"/>
      <c r="N102" s="3629" t="s">
        <v>180</v>
      </c>
    </row>
    <row r="103" spans="1:18" ht="15" hidden="1" customHeight="1">
      <c r="A103" s="3601"/>
      <c r="B103" s="626" t="s">
        <v>10</v>
      </c>
      <c r="C103" s="1047"/>
      <c r="D103" s="982"/>
      <c r="E103" s="1048"/>
      <c r="F103" s="1027"/>
      <c r="G103" s="1027"/>
      <c r="H103" s="1027"/>
      <c r="I103" s="1027"/>
      <c r="J103" s="1027"/>
      <c r="K103" s="1027"/>
      <c r="L103" s="1027"/>
      <c r="M103" s="984">
        <f>+M104+M107</f>
        <v>0</v>
      </c>
      <c r="N103" s="3607"/>
      <c r="O103" s="654"/>
    </row>
    <row r="104" spans="1:18" ht="12" hidden="1" customHeight="1">
      <c r="A104" s="3601"/>
      <c r="B104" s="985" t="s">
        <v>11</v>
      </c>
      <c r="C104" s="3598" t="s">
        <v>181</v>
      </c>
      <c r="D104" s="986"/>
      <c r="E104" s="1001"/>
      <c r="F104" s="987"/>
      <c r="G104" s="987"/>
      <c r="H104" s="987"/>
      <c r="I104" s="987"/>
      <c r="J104" s="987"/>
      <c r="K104" s="987"/>
      <c r="L104" s="987"/>
      <c r="M104" s="988">
        <f>M105+M106</f>
        <v>0</v>
      </c>
      <c r="N104" s="3607"/>
      <c r="O104" s="654"/>
    </row>
    <row r="105" spans="1:18" ht="12" hidden="1" customHeight="1">
      <c r="A105" s="3601"/>
      <c r="B105" s="989" t="s">
        <v>12</v>
      </c>
      <c r="C105" s="3623"/>
      <c r="D105" s="990"/>
      <c r="E105" s="991"/>
      <c r="F105" s="991"/>
      <c r="G105" s="991"/>
      <c r="H105" s="991"/>
      <c r="I105" s="991"/>
      <c r="J105" s="991"/>
      <c r="K105" s="991"/>
      <c r="L105" s="991"/>
      <c r="M105" s="993">
        <f>SUM(F105:I105)</f>
        <v>0</v>
      </c>
      <c r="N105" s="3607"/>
      <c r="O105" s="654">
        <f>D105-D113</f>
        <v>0</v>
      </c>
      <c r="P105" s="654"/>
    </row>
    <row r="106" spans="1:18" ht="12" hidden="1" customHeight="1">
      <c r="A106" s="3601"/>
      <c r="B106" s="989" t="s">
        <v>14</v>
      </c>
      <c r="C106" s="3623"/>
      <c r="D106" s="990"/>
      <c r="E106" s="991"/>
      <c r="F106" s="991"/>
      <c r="G106" s="991"/>
      <c r="H106" s="991"/>
      <c r="I106" s="991"/>
      <c r="J106" s="991"/>
      <c r="K106" s="991"/>
      <c r="L106" s="991"/>
      <c r="M106" s="993">
        <f>SUM(F106:I106)</f>
        <v>0</v>
      </c>
      <c r="N106" s="3607"/>
      <c r="O106" s="654">
        <f>D108-D116</f>
        <v>0</v>
      </c>
    </row>
    <row r="107" spans="1:18" ht="12" hidden="1" customHeight="1">
      <c r="A107" s="3601"/>
      <c r="B107" s="997" t="s">
        <v>18</v>
      </c>
      <c r="C107" s="3623"/>
      <c r="D107" s="986"/>
      <c r="E107" s="1001"/>
      <c r="F107" s="986"/>
      <c r="G107" s="1039"/>
      <c r="H107" s="1039"/>
      <c r="I107" s="1039"/>
      <c r="J107" s="1039"/>
      <c r="K107" s="1039"/>
      <c r="L107" s="1039"/>
      <c r="M107" s="988">
        <f>+M109</f>
        <v>0</v>
      </c>
      <c r="N107" s="3607"/>
      <c r="O107" s="654"/>
      <c r="P107" s="654"/>
      <c r="Q107" s="654"/>
      <c r="R107" s="654"/>
    </row>
    <row r="108" spans="1:18" ht="12" hidden="1" customHeight="1">
      <c r="A108" s="3601"/>
      <c r="B108" s="989" t="s">
        <v>12</v>
      </c>
      <c r="C108" s="3623"/>
      <c r="D108" s="990"/>
      <c r="E108" s="991"/>
      <c r="F108" s="1039"/>
      <c r="G108" s="1039"/>
      <c r="H108" s="1039"/>
      <c r="I108" s="1039"/>
      <c r="J108" s="1039"/>
      <c r="K108" s="1039"/>
      <c r="L108" s="1039"/>
      <c r="M108" s="993">
        <f>SUM(F108:I108)</f>
        <v>0</v>
      </c>
      <c r="N108" s="3607"/>
    </row>
    <row r="109" spans="1:18" ht="12" hidden="1" customHeight="1">
      <c r="A109" s="3627"/>
      <c r="B109" s="989" t="s">
        <v>14</v>
      </c>
      <c r="C109" s="3624"/>
      <c r="D109" s="990"/>
      <c r="E109" s="991"/>
      <c r="F109" s="991"/>
      <c r="G109" s="991"/>
      <c r="H109" s="991"/>
      <c r="I109" s="991"/>
      <c r="J109" s="991"/>
      <c r="K109" s="991"/>
      <c r="L109" s="991"/>
      <c r="M109" s="993">
        <f>SUM(F109:I109)</f>
        <v>0</v>
      </c>
      <c r="N109" s="3607"/>
    </row>
    <row r="110" spans="1:18" ht="14.25" hidden="1" customHeight="1">
      <c r="A110" s="3627"/>
      <c r="B110" s="626" t="s">
        <v>22</v>
      </c>
      <c r="C110" s="1025"/>
      <c r="D110" s="983"/>
      <c r="E110" s="1048"/>
      <c r="F110" s="1027"/>
      <c r="G110" s="1027"/>
      <c r="H110" s="1027"/>
      <c r="I110" s="1027"/>
      <c r="J110" s="1027"/>
      <c r="K110" s="1027"/>
      <c r="L110" s="1027"/>
      <c r="M110" s="3351" t="s">
        <v>61</v>
      </c>
      <c r="N110" s="3607"/>
    </row>
    <row r="111" spans="1:18" ht="12.95" hidden="1" customHeight="1">
      <c r="A111" s="3627"/>
      <c r="B111" s="985" t="s">
        <v>11</v>
      </c>
      <c r="C111" s="3625" t="s">
        <v>181</v>
      </c>
      <c r="D111" s="987"/>
      <c r="E111" s="1001"/>
      <c r="F111" s="1039"/>
      <c r="G111" s="1039"/>
      <c r="H111" s="1039"/>
      <c r="I111" s="1039"/>
      <c r="J111" s="1039"/>
      <c r="K111" s="1039"/>
      <c r="L111" s="1039"/>
      <c r="M111" s="3351"/>
      <c r="N111" s="3607"/>
    </row>
    <row r="112" spans="1:18" ht="12" hidden="1" customHeight="1">
      <c r="A112" s="3627"/>
      <c r="B112" s="989" t="s">
        <v>14</v>
      </c>
      <c r="C112" s="3625"/>
      <c r="D112" s="990"/>
      <c r="E112" s="991"/>
      <c r="F112" s="991"/>
      <c r="G112" s="991"/>
      <c r="H112" s="991"/>
      <c r="I112" s="991"/>
      <c r="J112" s="991"/>
      <c r="K112" s="991"/>
      <c r="L112" s="991"/>
      <c r="M112" s="3351"/>
      <c r="N112" s="3607"/>
    </row>
    <row r="113" spans="1:14" ht="12" hidden="1" customHeight="1">
      <c r="A113" s="3627"/>
      <c r="B113" s="989" t="s">
        <v>25</v>
      </c>
      <c r="C113" s="3625"/>
      <c r="D113" s="990"/>
      <c r="E113" s="991"/>
      <c r="F113" s="991"/>
      <c r="G113" s="991"/>
      <c r="H113" s="991"/>
      <c r="I113" s="991"/>
      <c r="J113" s="991"/>
      <c r="K113" s="991"/>
      <c r="L113" s="991"/>
      <c r="M113" s="3351"/>
      <c r="N113" s="3607"/>
    </row>
    <row r="114" spans="1:14" ht="12" hidden="1" customHeight="1">
      <c r="A114" s="3627"/>
      <c r="B114" s="997" t="s">
        <v>18</v>
      </c>
      <c r="C114" s="3625"/>
      <c r="D114" s="987"/>
      <c r="E114" s="1001"/>
      <c r="F114" s="1039"/>
      <c r="G114" s="1039"/>
      <c r="H114" s="1039"/>
      <c r="I114" s="1039"/>
      <c r="J114" s="1039"/>
      <c r="K114" s="1039"/>
      <c r="L114" s="1039"/>
      <c r="M114" s="3351"/>
      <c r="N114" s="3607"/>
    </row>
    <row r="115" spans="1:14" ht="12" hidden="1" customHeight="1">
      <c r="A115" s="3627"/>
      <c r="B115" s="989" t="s">
        <v>14</v>
      </c>
      <c r="C115" s="3625"/>
      <c r="D115" s="990"/>
      <c r="E115" s="991"/>
      <c r="F115" s="991"/>
      <c r="G115" s="991"/>
      <c r="H115" s="991"/>
      <c r="I115" s="991"/>
      <c r="J115" s="991"/>
      <c r="K115" s="991"/>
      <c r="L115" s="991"/>
      <c r="M115" s="3351"/>
      <c r="N115" s="3607"/>
    </row>
    <row r="116" spans="1:14" ht="12" hidden="1" customHeight="1" thickBot="1">
      <c r="A116" s="3628"/>
      <c r="B116" s="1003" t="s">
        <v>20</v>
      </c>
      <c r="C116" s="3631"/>
      <c r="D116" s="1004"/>
      <c r="E116" s="1006"/>
      <c r="F116" s="620"/>
      <c r="G116" s="620"/>
      <c r="H116" s="620"/>
      <c r="I116" s="620"/>
      <c r="J116" s="620"/>
      <c r="K116" s="620"/>
      <c r="L116" s="620"/>
      <c r="M116" s="3353"/>
      <c r="N116" s="3630"/>
    </row>
    <row r="117" spans="1:14" ht="26.25" hidden="1" customHeight="1">
      <c r="A117" s="3601" t="s">
        <v>66</v>
      </c>
      <c r="B117" s="1007"/>
      <c r="C117" s="1044" t="s">
        <v>81</v>
      </c>
      <c r="D117" s="1044"/>
      <c r="E117" s="94"/>
      <c r="F117" s="94"/>
      <c r="G117" s="94"/>
      <c r="H117" s="94"/>
      <c r="I117" s="94"/>
      <c r="J117" s="94"/>
      <c r="K117" s="94"/>
      <c r="L117" s="94"/>
      <c r="M117" s="1009"/>
      <c r="N117" s="3607" t="s">
        <v>182</v>
      </c>
    </row>
    <row r="118" spans="1:14" ht="14.25" hidden="1" customHeight="1">
      <c r="A118" s="3601"/>
      <c r="B118" s="826" t="s">
        <v>10</v>
      </c>
      <c r="C118" s="1047"/>
      <c r="D118" s="982"/>
      <c r="E118" s="983"/>
      <c r="F118" s="1027"/>
      <c r="G118" s="1027"/>
      <c r="H118" s="1027"/>
      <c r="I118" s="1027"/>
      <c r="J118" s="1027"/>
      <c r="K118" s="1027"/>
      <c r="L118" s="1027"/>
      <c r="M118" s="1050">
        <f>+M119+M122</f>
        <v>0</v>
      </c>
      <c r="N118" s="3607"/>
    </row>
    <row r="119" spans="1:14" ht="12" hidden="1" customHeight="1">
      <c r="A119" s="3601"/>
      <c r="B119" s="985" t="s">
        <v>11</v>
      </c>
      <c r="C119" s="3598" t="s">
        <v>181</v>
      </c>
      <c r="D119" s="986"/>
      <c r="E119" s="987"/>
      <c r="F119" s="987"/>
      <c r="G119" s="987"/>
      <c r="H119" s="987"/>
      <c r="I119" s="987"/>
      <c r="J119" s="987"/>
      <c r="K119" s="987"/>
      <c r="L119" s="987"/>
      <c r="M119" s="1051">
        <f>M120+M121</f>
        <v>0</v>
      </c>
      <c r="N119" s="3607"/>
    </row>
    <row r="120" spans="1:14" ht="12" hidden="1" customHeight="1">
      <c r="A120" s="3601"/>
      <c r="B120" s="989" t="s">
        <v>12</v>
      </c>
      <c r="C120" s="3623"/>
      <c r="D120" s="990"/>
      <c r="E120" s="991"/>
      <c r="F120" s="991"/>
      <c r="G120" s="991"/>
      <c r="H120" s="991"/>
      <c r="I120" s="991"/>
      <c r="J120" s="991"/>
      <c r="K120" s="991"/>
      <c r="L120" s="991"/>
      <c r="M120" s="1015"/>
      <c r="N120" s="3607"/>
    </row>
    <row r="121" spans="1:14" ht="12" hidden="1" customHeight="1">
      <c r="A121" s="3601"/>
      <c r="B121" s="989" t="s">
        <v>14</v>
      </c>
      <c r="C121" s="3623"/>
      <c r="D121" s="990"/>
      <c r="E121" s="991"/>
      <c r="F121" s="991"/>
      <c r="G121" s="991"/>
      <c r="H121" s="991"/>
      <c r="I121" s="991"/>
      <c r="J121" s="991"/>
      <c r="K121" s="991"/>
      <c r="L121" s="991"/>
      <c r="M121" s="1015"/>
      <c r="N121" s="3607"/>
    </row>
    <row r="122" spans="1:14" ht="12" hidden="1" customHeight="1">
      <c r="A122" s="3601"/>
      <c r="B122" s="1036" t="s">
        <v>18</v>
      </c>
      <c r="C122" s="3623"/>
      <c r="D122" s="986"/>
      <c r="E122" s="987"/>
      <c r="F122" s="1039"/>
      <c r="G122" s="1039"/>
      <c r="H122" s="1039"/>
      <c r="I122" s="1039"/>
      <c r="J122" s="1039"/>
      <c r="K122" s="1039"/>
      <c r="L122" s="1039"/>
      <c r="M122" s="1051">
        <f>+M123</f>
        <v>0</v>
      </c>
      <c r="N122" s="3607"/>
    </row>
    <row r="123" spans="1:14" ht="12" hidden="1" customHeight="1">
      <c r="A123" s="3601"/>
      <c r="B123" s="989" t="s">
        <v>14</v>
      </c>
      <c r="C123" s="3624"/>
      <c r="D123" s="990"/>
      <c r="E123" s="991"/>
      <c r="F123" s="991"/>
      <c r="G123" s="991"/>
      <c r="H123" s="991"/>
      <c r="I123" s="991"/>
      <c r="J123" s="991"/>
      <c r="K123" s="991"/>
      <c r="L123" s="991"/>
      <c r="M123" s="1015"/>
      <c r="N123" s="3607"/>
    </row>
    <row r="124" spans="1:14" ht="13.5" hidden="1" customHeight="1">
      <c r="A124" s="3601"/>
      <c r="B124" s="826" t="s">
        <v>22</v>
      </c>
      <c r="C124" s="1025"/>
      <c r="D124" s="983"/>
      <c r="E124" s="983"/>
      <c r="F124" s="1027"/>
      <c r="G124" s="1027"/>
      <c r="H124" s="1027"/>
      <c r="I124" s="1027"/>
      <c r="J124" s="1027"/>
      <c r="K124" s="1027"/>
      <c r="L124" s="1027"/>
      <c r="M124" s="3317" t="s">
        <v>61</v>
      </c>
      <c r="N124" s="3607"/>
    </row>
    <row r="125" spans="1:14" ht="12.75" hidden="1" customHeight="1">
      <c r="A125" s="3601"/>
      <c r="B125" s="985" t="s">
        <v>11</v>
      </c>
      <c r="C125" s="3625" t="s">
        <v>181</v>
      </c>
      <c r="D125" s="987"/>
      <c r="E125" s="987"/>
      <c r="F125" s="987"/>
      <c r="G125" s="987"/>
      <c r="H125" s="987"/>
      <c r="I125" s="987"/>
      <c r="J125" s="987"/>
      <c r="K125" s="987"/>
      <c r="L125" s="987"/>
      <c r="M125" s="3317"/>
      <c r="N125" s="3607"/>
    </row>
    <row r="126" spans="1:14" ht="12.75" hidden="1" customHeight="1">
      <c r="A126" s="3601"/>
      <c r="B126" s="989" t="s">
        <v>14</v>
      </c>
      <c r="C126" s="3625"/>
      <c r="D126" s="990"/>
      <c r="E126" s="991"/>
      <c r="F126" s="991"/>
      <c r="G126" s="991"/>
      <c r="H126" s="991"/>
      <c r="I126" s="991"/>
      <c r="J126" s="991"/>
      <c r="K126" s="991"/>
      <c r="L126" s="991"/>
      <c r="M126" s="3317"/>
      <c r="N126" s="3607"/>
    </row>
    <row r="127" spans="1:14" ht="12.75" hidden="1" customHeight="1">
      <c r="A127" s="3601"/>
      <c r="B127" s="1036" t="s">
        <v>18</v>
      </c>
      <c r="C127" s="3625"/>
      <c r="D127" s="987"/>
      <c r="E127" s="987"/>
      <c r="F127" s="987"/>
      <c r="G127" s="987"/>
      <c r="H127" s="987"/>
      <c r="I127" s="987"/>
      <c r="J127" s="987"/>
      <c r="K127" s="987"/>
      <c r="L127" s="987"/>
      <c r="M127" s="3317"/>
      <c r="N127" s="3607"/>
    </row>
    <row r="128" spans="1:14" ht="12.75" hidden="1" customHeight="1">
      <c r="A128" s="3601"/>
      <c r="B128" s="989" t="s">
        <v>14</v>
      </c>
      <c r="C128" s="3625"/>
      <c r="D128" s="990"/>
      <c r="E128" s="991"/>
      <c r="F128" s="991"/>
      <c r="G128" s="991"/>
      <c r="H128" s="991"/>
      <c r="I128" s="991"/>
      <c r="J128" s="991"/>
      <c r="K128" s="991"/>
      <c r="L128" s="991"/>
      <c r="M128" s="3317"/>
      <c r="N128" s="3622"/>
    </row>
    <row r="129" spans="1:16" s="213" customFormat="1" hidden="1">
      <c r="A129" s="3617"/>
      <c r="B129" s="2792"/>
      <c r="C129" s="2793" t="s">
        <v>111</v>
      </c>
      <c r="D129" s="2794"/>
      <c r="E129" s="2794"/>
      <c r="F129" s="2795"/>
      <c r="G129" s="2795"/>
      <c r="H129" s="2795"/>
      <c r="I129" s="2795"/>
      <c r="J129" s="2795"/>
      <c r="K129" s="2795"/>
      <c r="L129" s="2795"/>
      <c r="M129" s="2796"/>
      <c r="N129" s="3619" t="s">
        <v>112</v>
      </c>
    </row>
    <row r="130" spans="1:16" s="213" customFormat="1" ht="16.5" hidden="1" customHeight="1">
      <c r="A130" s="3618"/>
      <c r="B130" s="2011" t="s">
        <v>10</v>
      </c>
      <c r="C130" s="2012"/>
      <c r="D130" s="2025"/>
      <c r="E130" s="2025"/>
      <c r="F130" s="2025"/>
      <c r="G130" s="2025"/>
      <c r="H130" s="2025"/>
      <c r="I130" s="2025"/>
      <c r="J130" s="2025"/>
      <c r="K130" s="2025"/>
      <c r="L130" s="2025"/>
      <c r="M130" s="2014">
        <f>+M131</f>
        <v>0</v>
      </c>
      <c r="N130" s="3619"/>
      <c r="O130" s="994"/>
      <c r="P130" s="994"/>
    </row>
    <row r="131" spans="1:16" s="213" customFormat="1" ht="14.25" hidden="1" customHeight="1">
      <c r="A131" s="3618"/>
      <c r="B131" s="2019" t="s">
        <v>18</v>
      </c>
      <c r="C131" s="3621" t="s">
        <v>183</v>
      </c>
      <c r="D131" s="2020"/>
      <c r="E131" s="2020"/>
      <c r="F131" s="1964"/>
      <c r="G131" s="1964"/>
      <c r="H131" s="1964"/>
      <c r="I131" s="1964"/>
      <c r="J131" s="1964"/>
      <c r="K131" s="1964"/>
      <c r="L131" s="1964"/>
      <c r="M131" s="1966">
        <f t="shared" ref="M131" si="54">+M132</f>
        <v>0</v>
      </c>
      <c r="N131" s="3620"/>
    </row>
    <row r="132" spans="1:16" s="213" customFormat="1" ht="13.5" hidden="1" customHeight="1">
      <c r="A132" s="3618"/>
      <c r="B132" s="2797" t="s">
        <v>20</v>
      </c>
      <c r="C132" s="3319"/>
      <c r="D132" s="1923"/>
      <c r="E132" s="1967"/>
      <c r="F132" s="1995"/>
      <c r="G132" s="1995"/>
      <c r="H132" s="1995"/>
      <c r="I132" s="1995"/>
      <c r="J132" s="1995"/>
      <c r="K132" s="1995"/>
      <c r="L132" s="1995"/>
      <c r="M132" s="1950">
        <f>SUM(F132:I132)</f>
        <v>0</v>
      </c>
      <c r="N132" s="3620"/>
    </row>
    <row r="133" spans="1:16" s="213" customFormat="1" ht="15.75" hidden="1" customHeight="1">
      <c r="A133" s="3618"/>
      <c r="B133" s="2011" t="s">
        <v>22</v>
      </c>
      <c r="C133" s="2012"/>
      <c r="D133" s="2025"/>
      <c r="E133" s="2025"/>
      <c r="F133" s="2025"/>
      <c r="G133" s="2025"/>
      <c r="H133" s="2025"/>
      <c r="I133" s="2025"/>
      <c r="J133" s="2025"/>
      <c r="K133" s="2025"/>
      <c r="L133" s="2025"/>
      <c r="M133" s="3320" t="s">
        <v>61</v>
      </c>
      <c r="N133" s="3620"/>
    </row>
    <row r="134" spans="1:16" s="213" customFormat="1" ht="12.75" hidden="1" customHeight="1">
      <c r="A134" s="3618"/>
      <c r="B134" s="2019" t="s">
        <v>18</v>
      </c>
      <c r="C134" s="3621" t="s">
        <v>183</v>
      </c>
      <c r="D134" s="2020"/>
      <c r="E134" s="2020"/>
      <c r="F134" s="2020"/>
      <c r="G134" s="2020"/>
      <c r="H134" s="2020"/>
      <c r="I134" s="2020"/>
      <c r="J134" s="2020"/>
      <c r="K134" s="2020"/>
      <c r="L134" s="2020"/>
      <c r="M134" s="3320"/>
      <c r="N134" s="3620"/>
    </row>
    <row r="135" spans="1:16" s="213" customFormat="1" ht="15.75" hidden="1" customHeight="1">
      <c r="A135" s="3618"/>
      <c r="B135" s="2797" t="s">
        <v>20</v>
      </c>
      <c r="C135" s="3319"/>
      <c r="D135" s="1923"/>
      <c r="E135" s="1967"/>
      <c r="F135" s="2798"/>
      <c r="G135" s="2798"/>
      <c r="H135" s="2798"/>
      <c r="I135" s="2798"/>
      <c r="J135" s="2798"/>
      <c r="K135" s="2798"/>
      <c r="L135" s="2798"/>
      <c r="M135" s="3320"/>
      <c r="N135" s="3620"/>
    </row>
    <row r="136" spans="1:16" ht="21.75" customHeight="1">
      <c r="A136" s="3601" t="s">
        <v>64</v>
      </c>
      <c r="B136" s="1019" t="s">
        <v>434</v>
      </c>
      <c r="C136" s="1808" t="s">
        <v>111</v>
      </c>
      <c r="D136" s="1808"/>
      <c r="E136" s="1808"/>
      <c r="F136" s="1021"/>
      <c r="G136" s="1021"/>
      <c r="H136" s="1021"/>
      <c r="I136" s="1021"/>
      <c r="J136" s="1021"/>
      <c r="K136" s="1021"/>
      <c r="L136" s="1021"/>
      <c r="M136" s="1809"/>
      <c r="N136" s="3614" t="s">
        <v>375</v>
      </c>
    </row>
    <row r="137" spans="1:16" ht="13.5" customHeight="1">
      <c r="A137" s="3601"/>
      <c r="B137" s="626" t="s">
        <v>10</v>
      </c>
      <c r="C137" s="1810"/>
      <c r="D137" s="982">
        <f t="shared" ref="D137:L137" si="55">+D138+D141</f>
        <v>25156056</v>
      </c>
      <c r="E137" s="982">
        <f t="shared" ref="E137" si="56">+E138+E141</f>
        <v>5960282</v>
      </c>
      <c r="F137" s="983">
        <f t="shared" si="55"/>
        <v>3900000</v>
      </c>
      <c r="G137" s="983">
        <f t="shared" si="55"/>
        <v>3274335</v>
      </c>
      <c r="H137" s="983">
        <f t="shared" si="55"/>
        <v>2500000</v>
      </c>
      <c r="I137" s="983">
        <f t="shared" si="55"/>
        <v>2720411</v>
      </c>
      <c r="J137" s="983">
        <f t="shared" si="55"/>
        <v>2720411</v>
      </c>
      <c r="K137" s="983">
        <f t="shared" si="55"/>
        <v>2720411</v>
      </c>
      <c r="L137" s="983">
        <f t="shared" si="55"/>
        <v>1360206</v>
      </c>
      <c r="M137" s="984">
        <f>+M138+M141</f>
        <v>19195774</v>
      </c>
      <c r="N137" s="3614"/>
    </row>
    <row r="138" spans="1:16" ht="13.5" customHeight="1">
      <c r="A138" s="3601"/>
      <c r="B138" s="985" t="s">
        <v>11</v>
      </c>
      <c r="C138" s="3615" t="s">
        <v>181</v>
      </c>
      <c r="D138" s="986">
        <f>+D139+D140</f>
        <v>9149279</v>
      </c>
      <c r="E138" s="986">
        <f t="shared" ref="E138" si="57">+E139+E140</f>
        <v>2167756</v>
      </c>
      <c r="F138" s="987">
        <f t="shared" ref="F138:L138" si="58">+F139+F140</f>
        <v>1418000</v>
      </c>
      <c r="G138" s="987">
        <f t="shared" si="58"/>
        <v>1191324</v>
      </c>
      <c r="H138" s="987">
        <f t="shared" si="58"/>
        <v>909250</v>
      </c>
      <c r="I138" s="987">
        <f t="shared" si="58"/>
        <v>989414</v>
      </c>
      <c r="J138" s="987">
        <f t="shared" si="58"/>
        <v>989414</v>
      </c>
      <c r="K138" s="987">
        <f t="shared" si="58"/>
        <v>989414</v>
      </c>
      <c r="L138" s="987">
        <f t="shared" si="58"/>
        <v>494707</v>
      </c>
      <c r="M138" s="988">
        <f>SUM(M139:M140)</f>
        <v>6981523</v>
      </c>
      <c r="N138" s="3614"/>
    </row>
    <row r="139" spans="1:16" ht="12.6" customHeight="1">
      <c r="A139" s="3601"/>
      <c r="B139" s="989" t="s">
        <v>12</v>
      </c>
      <c r="C139" s="3615"/>
      <c r="D139" s="280">
        <f>E139+F139+G139+H139+I139+J139+K139+L139</f>
        <v>0</v>
      </c>
      <c r="E139" s="2436">
        <v>0</v>
      </c>
      <c r="F139" s="991">
        <f>450000-450000</f>
        <v>0</v>
      </c>
      <c r="G139" s="991">
        <f>500000-500000</f>
        <v>0</v>
      </c>
      <c r="H139" s="991">
        <v>0</v>
      </c>
      <c r="I139" s="991"/>
      <c r="J139" s="991"/>
      <c r="K139" s="991"/>
      <c r="L139" s="991"/>
      <c r="M139" s="993">
        <f>SUM(F139:I139)</f>
        <v>0</v>
      </c>
      <c r="N139" s="3614"/>
    </row>
    <row r="140" spans="1:16" ht="13.5" customHeight="1">
      <c r="A140" s="3601"/>
      <c r="B140" s="1811" t="s">
        <v>265</v>
      </c>
      <c r="C140" s="3615"/>
      <c r="D140" s="280">
        <f>E140+F140+G140+H140+I140+J140+K140+L140</f>
        <v>9149279</v>
      </c>
      <c r="E140" s="2436">
        <v>2167756</v>
      </c>
      <c r="F140" s="991">
        <f>2546000-1636750+205354+303396</f>
        <v>1418000</v>
      </c>
      <c r="G140" s="991">
        <f>2910000-2000750-303396+585470</f>
        <v>1191324</v>
      </c>
      <c r="H140" s="991">
        <v>909250</v>
      </c>
      <c r="I140" s="991">
        <v>989414</v>
      </c>
      <c r="J140" s="991">
        <v>989414</v>
      </c>
      <c r="K140" s="991">
        <v>989414</v>
      </c>
      <c r="L140" s="991">
        <v>494707</v>
      </c>
      <c r="M140" s="1035">
        <f>SUM(F140:L140)</f>
        <v>6981523</v>
      </c>
      <c r="N140" s="3614"/>
    </row>
    <row r="141" spans="1:16" ht="13.5" customHeight="1">
      <c r="A141" s="3601"/>
      <c r="B141" s="997" t="s">
        <v>18</v>
      </c>
      <c r="C141" s="3615"/>
      <c r="D141" s="986">
        <f>+D142</f>
        <v>16006777</v>
      </c>
      <c r="E141" s="986">
        <f t="shared" ref="E141:L141" si="59">+E142</f>
        <v>3792526</v>
      </c>
      <c r="F141" s="986">
        <f t="shared" si="59"/>
        <v>2482000</v>
      </c>
      <c r="G141" s="986">
        <f t="shared" si="59"/>
        <v>2083011</v>
      </c>
      <c r="H141" s="986">
        <f t="shared" si="59"/>
        <v>1590750</v>
      </c>
      <c r="I141" s="986">
        <f t="shared" si="59"/>
        <v>1730997</v>
      </c>
      <c r="J141" s="986">
        <f t="shared" si="59"/>
        <v>1730997</v>
      </c>
      <c r="K141" s="986">
        <f t="shared" si="59"/>
        <v>1730997</v>
      </c>
      <c r="L141" s="986">
        <f t="shared" si="59"/>
        <v>865499</v>
      </c>
      <c r="M141" s="1058">
        <f>+M142</f>
        <v>12214251</v>
      </c>
      <c r="N141" s="3614"/>
    </row>
    <row r="142" spans="1:16" ht="13.5" customHeight="1">
      <c r="A142" s="3601"/>
      <c r="B142" s="1811" t="s">
        <v>390</v>
      </c>
      <c r="C142" s="3615"/>
      <c r="D142" s="280">
        <f>E142+F142+G142+H142+I142+J142+K142+L142</f>
        <v>16006777</v>
      </c>
      <c r="E142" s="2436">
        <v>3792526</v>
      </c>
      <c r="F142" s="991">
        <f>4454000-2863250+358256+532994</f>
        <v>2482000</v>
      </c>
      <c r="G142" s="991">
        <f>5090000-3499250-532994+1025255</f>
        <v>2083011</v>
      </c>
      <c r="H142" s="991">
        <v>1590750</v>
      </c>
      <c r="I142" s="991">
        <v>1730997</v>
      </c>
      <c r="J142" s="991">
        <v>1730997</v>
      </c>
      <c r="K142" s="991">
        <v>1730997</v>
      </c>
      <c r="L142" s="991">
        <v>865499</v>
      </c>
      <c r="M142" s="1035">
        <f>SUM(F142:L142)</f>
        <v>12214251</v>
      </c>
      <c r="N142" s="3614"/>
    </row>
    <row r="143" spans="1:16" ht="14.25" customHeight="1">
      <c r="A143" s="3601"/>
      <c r="B143" s="626" t="s">
        <v>22</v>
      </c>
      <c r="C143" s="1810"/>
      <c r="D143" s="983">
        <f>+D144+D147</f>
        <v>25156056</v>
      </c>
      <c r="E143" s="983">
        <f t="shared" ref="E143" si="60">+E144+E147</f>
        <v>5960282</v>
      </c>
      <c r="F143" s="983">
        <f t="shared" ref="F143:L143" si="61">+F144+F147</f>
        <v>3900000</v>
      </c>
      <c r="G143" s="983">
        <f t="shared" si="61"/>
        <v>3274335</v>
      </c>
      <c r="H143" s="983">
        <f t="shared" si="61"/>
        <v>2500000</v>
      </c>
      <c r="I143" s="983">
        <f t="shared" si="61"/>
        <v>2720411</v>
      </c>
      <c r="J143" s="983">
        <f t="shared" si="61"/>
        <v>2720411</v>
      </c>
      <c r="K143" s="983">
        <f t="shared" si="61"/>
        <v>2720411</v>
      </c>
      <c r="L143" s="983">
        <f t="shared" si="61"/>
        <v>1360206</v>
      </c>
      <c r="M143" s="3351" t="s">
        <v>61</v>
      </c>
      <c r="N143" s="3614"/>
    </row>
    <row r="144" spans="1:16" ht="13.5" customHeight="1">
      <c r="A144" s="3601"/>
      <c r="B144" s="985" t="s">
        <v>11</v>
      </c>
      <c r="C144" s="3616" t="s">
        <v>181</v>
      </c>
      <c r="D144" s="986">
        <f>+D145</f>
        <v>9149279</v>
      </c>
      <c r="E144" s="986">
        <f t="shared" ref="E144:L144" si="62">+E145</f>
        <v>2167756</v>
      </c>
      <c r="F144" s="987">
        <f t="shared" si="62"/>
        <v>1418000</v>
      </c>
      <c r="G144" s="987">
        <f t="shared" si="62"/>
        <v>1191324</v>
      </c>
      <c r="H144" s="987">
        <f t="shared" si="62"/>
        <v>909250</v>
      </c>
      <c r="I144" s="987">
        <f t="shared" si="62"/>
        <v>989414</v>
      </c>
      <c r="J144" s="987">
        <f t="shared" si="62"/>
        <v>989414</v>
      </c>
      <c r="K144" s="987">
        <f t="shared" si="62"/>
        <v>989414</v>
      </c>
      <c r="L144" s="987">
        <f t="shared" si="62"/>
        <v>494707</v>
      </c>
      <c r="M144" s="3351"/>
      <c r="N144" s="3614"/>
    </row>
    <row r="145" spans="1:14" ht="12.75" customHeight="1">
      <c r="A145" s="3601"/>
      <c r="B145" s="1811" t="s">
        <v>265</v>
      </c>
      <c r="C145" s="3616"/>
      <c r="D145" s="280">
        <f>E145+F145+G145+H145+I145+J145+K145+L145</f>
        <v>9149279</v>
      </c>
      <c r="E145" s="2436">
        <v>2167756</v>
      </c>
      <c r="F145" s="991">
        <f>2546000-1636750+205354+303396</f>
        <v>1418000</v>
      </c>
      <c r="G145" s="991">
        <f>2910000-2000750-303396+585470</f>
        <v>1191324</v>
      </c>
      <c r="H145" s="991">
        <v>909250</v>
      </c>
      <c r="I145" s="991">
        <v>989414</v>
      </c>
      <c r="J145" s="991">
        <v>989414</v>
      </c>
      <c r="K145" s="991">
        <v>989414</v>
      </c>
      <c r="L145" s="991">
        <v>494707</v>
      </c>
      <c r="M145" s="3351"/>
      <c r="N145" s="3614"/>
    </row>
    <row r="146" spans="1:14" ht="11.25" customHeight="1">
      <c r="A146" s="3601"/>
      <c r="B146" s="989" t="s">
        <v>25</v>
      </c>
      <c r="C146" s="3616"/>
      <c r="D146" s="280">
        <f>E146+F146+G146+H146+I146+J146+K146+L146</f>
        <v>0</v>
      </c>
      <c r="E146" s="2436">
        <v>0</v>
      </c>
      <c r="F146" s="991"/>
      <c r="G146" s="991"/>
      <c r="H146" s="991"/>
      <c r="I146" s="991"/>
      <c r="J146" s="991"/>
      <c r="K146" s="991"/>
      <c r="L146" s="991"/>
      <c r="M146" s="3351"/>
      <c r="N146" s="3614"/>
    </row>
    <row r="147" spans="1:14" ht="12.75" customHeight="1">
      <c r="A147" s="3601"/>
      <c r="B147" s="997" t="s">
        <v>18</v>
      </c>
      <c r="C147" s="3616"/>
      <c r="D147" s="986">
        <f>+D148</f>
        <v>16006777</v>
      </c>
      <c r="E147" s="986">
        <f t="shared" ref="E147:L147" si="63">+E148</f>
        <v>3792526</v>
      </c>
      <c r="F147" s="987">
        <f t="shared" si="63"/>
        <v>2482000</v>
      </c>
      <c r="G147" s="987">
        <f t="shared" si="63"/>
        <v>2083011</v>
      </c>
      <c r="H147" s="987">
        <f t="shared" si="63"/>
        <v>1590750</v>
      </c>
      <c r="I147" s="987">
        <f t="shared" si="63"/>
        <v>1730997</v>
      </c>
      <c r="J147" s="987">
        <f t="shared" si="63"/>
        <v>1730997</v>
      </c>
      <c r="K147" s="987">
        <f t="shared" si="63"/>
        <v>1730997</v>
      </c>
      <c r="L147" s="987">
        <f t="shared" si="63"/>
        <v>865499</v>
      </c>
      <c r="M147" s="3351"/>
      <c r="N147" s="3614"/>
    </row>
    <row r="148" spans="1:14" ht="12.75" customHeight="1" thickBot="1">
      <c r="A148" s="3613"/>
      <c r="B148" s="1811" t="s">
        <v>390</v>
      </c>
      <c r="C148" s="3616"/>
      <c r="D148" s="280">
        <f>E148+F148+G148+H148+I148+J148+K148+L148</f>
        <v>16006777</v>
      </c>
      <c r="E148" s="2436">
        <v>3792526</v>
      </c>
      <c r="F148" s="991">
        <f>4454000-2863250+358256+532994</f>
        <v>2482000</v>
      </c>
      <c r="G148" s="991">
        <f>5090000-3499250-532994+1025255</f>
        <v>2083011</v>
      </c>
      <c r="H148" s="991">
        <v>1590750</v>
      </c>
      <c r="I148" s="991">
        <v>1730997</v>
      </c>
      <c r="J148" s="991">
        <v>1730997</v>
      </c>
      <c r="K148" s="991">
        <v>1730997</v>
      </c>
      <c r="L148" s="991">
        <v>865499</v>
      </c>
      <c r="M148" s="3351"/>
      <c r="N148" s="3614"/>
    </row>
    <row r="149" spans="1:14" ht="11.25" hidden="1" customHeight="1" thickBot="1">
      <c r="A149" s="1059"/>
      <c r="B149" s="1060" t="s">
        <v>20</v>
      </c>
      <c r="C149" s="1061"/>
      <c r="D149" s="280">
        <f>E149+F149+G149+H149+I149+J149+K149+L149</f>
        <v>0</v>
      </c>
      <c r="E149" s="1062"/>
      <c r="F149" s="1062"/>
      <c r="G149" s="1062"/>
      <c r="H149" s="1062"/>
      <c r="I149" s="1062"/>
      <c r="J149" s="1062"/>
      <c r="K149" s="1062"/>
      <c r="L149" s="1062"/>
      <c r="M149" s="1063"/>
      <c r="N149" s="1064"/>
    </row>
    <row r="150" spans="1:14" ht="27" hidden="1" customHeight="1">
      <c r="A150" s="3601" t="s">
        <v>90</v>
      </c>
      <c r="B150" s="977" t="s">
        <v>259</v>
      </c>
      <c r="C150" s="1052" t="s">
        <v>81</v>
      </c>
      <c r="D150" s="1065"/>
      <c r="E150" s="1052"/>
      <c r="F150" s="1066"/>
      <c r="G150" s="1066"/>
      <c r="H150" s="1066"/>
      <c r="I150" s="1066"/>
      <c r="J150" s="1066"/>
      <c r="K150" s="1066"/>
      <c r="L150" s="1066"/>
      <c r="M150" s="1067"/>
      <c r="N150" s="3611" t="s">
        <v>180</v>
      </c>
    </row>
    <row r="151" spans="1:14" ht="11.25" hidden="1" customHeight="1">
      <c r="A151" s="3601"/>
      <c r="B151" s="1057" t="s">
        <v>10</v>
      </c>
      <c r="C151" s="1068"/>
      <c r="D151" s="1069"/>
      <c r="E151" s="1069"/>
      <c r="F151" s="1070"/>
      <c r="G151" s="1070"/>
      <c r="H151" s="1070"/>
      <c r="I151" s="1070"/>
      <c r="J151" s="1070"/>
      <c r="K151" s="1070"/>
      <c r="L151" s="1070"/>
      <c r="M151" s="1071">
        <f>+M152+M155</f>
        <v>0</v>
      </c>
      <c r="N151" s="3611"/>
    </row>
    <row r="152" spans="1:14" ht="12.75" hidden="1" customHeight="1">
      <c r="A152" s="3601"/>
      <c r="B152" s="1072" t="s">
        <v>11</v>
      </c>
      <c r="C152" s="3251" t="s">
        <v>181</v>
      </c>
      <c r="D152" s="87"/>
      <c r="E152" s="87"/>
      <c r="F152" s="1073"/>
      <c r="G152" s="1073"/>
      <c r="H152" s="1073"/>
      <c r="I152" s="1073"/>
      <c r="J152" s="1073"/>
      <c r="K152" s="1073"/>
      <c r="L152" s="1073"/>
      <c r="M152" s="1053">
        <f>SUM(M153:M154)</f>
        <v>0</v>
      </c>
      <c r="N152" s="3611"/>
    </row>
    <row r="153" spans="1:14" ht="12.75" hidden="1" customHeight="1">
      <c r="A153" s="3601"/>
      <c r="B153" s="1060" t="s">
        <v>12</v>
      </c>
      <c r="C153" s="3147"/>
      <c r="D153" s="1054"/>
      <c r="E153" s="1055"/>
      <c r="F153" s="1074"/>
      <c r="G153" s="1074"/>
      <c r="H153" s="1074"/>
      <c r="I153" s="1074"/>
      <c r="J153" s="1074"/>
      <c r="K153" s="1074"/>
      <c r="L153" s="1074"/>
      <c r="M153" s="1056">
        <f>SUM(F153:I153)</f>
        <v>0</v>
      </c>
      <c r="N153" s="3611"/>
    </row>
    <row r="154" spans="1:14" ht="12.75" hidden="1" customHeight="1">
      <c r="A154" s="3601"/>
      <c r="B154" s="1075" t="s">
        <v>265</v>
      </c>
      <c r="C154" s="3147"/>
      <c r="D154" s="1054"/>
      <c r="E154" s="1055"/>
      <c r="F154" s="1074"/>
      <c r="G154" s="1074"/>
      <c r="H154" s="1074"/>
      <c r="I154" s="1074"/>
      <c r="J154" s="1074"/>
      <c r="K154" s="1074"/>
      <c r="L154" s="1074"/>
      <c r="M154" s="1056">
        <f>SUM(F154:I154)</f>
        <v>0</v>
      </c>
      <c r="N154" s="3611"/>
    </row>
    <row r="155" spans="1:14" ht="12.75" hidden="1" customHeight="1">
      <c r="A155" s="3601"/>
      <c r="B155" s="1076" t="s">
        <v>18</v>
      </c>
      <c r="C155" s="3147"/>
      <c r="D155" s="87"/>
      <c r="E155" s="87"/>
      <c r="F155" s="87"/>
      <c r="G155" s="87"/>
      <c r="H155" s="87"/>
      <c r="I155" s="87"/>
      <c r="J155" s="87"/>
      <c r="K155" s="87"/>
      <c r="L155" s="87"/>
      <c r="M155" s="1077">
        <f t="shared" ref="M155" si="64">+M156</f>
        <v>0</v>
      </c>
      <c r="N155" s="3611"/>
    </row>
    <row r="156" spans="1:14" ht="12.75" hidden="1" customHeight="1">
      <c r="A156" s="3601"/>
      <c r="B156" s="1075" t="s">
        <v>390</v>
      </c>
      <c r="C156" s="3147"/>
      <c r="D156" s="1054"/>
      <c r="E156" s="1055"/>
      <c r="F156" s="1074"/>
      <c r="G156" s="1074"/>
      <c r="H156" s="1074"/>
      <c r="I156" s="1074"/>
      <c r="J156" s="1074"/>
      <c r="K156" s="1074"/>
      <c r="L156" s="1074"/>
      <c r="M156" s="1056">
        <f>SUM(F156:I156)</f>
        <v>0</v>
      </c>
      <c r="N156" s="3611"/>
    </row>
    <row r="157" spans="1:14" ht="13.5" hidden="1" customHeight="1">
      <c r="A157" s="3601"/>
      <c r="B157" s="1057" t="s">
        <v>22</v>
      </c>
      <c r="C157" s="1068"/>
      <c r="D157" s="1070"/>
      <c r="E157" s="1070"/>
      <c r="F157" s="1070"/>
      <c r="G157" s="1070"/>
      <c r="H157" s="1070"/>
      <c r="I157" s="1070"/>
      <c r="J157" s="1070"/>
      <c r="K157" s="1070"/>
      <c r="L157" s="1070"/>
      <c r="M157" s="3589" t="s">
        <v>61</v>
      </c>
      <c r="N157" s="3611"/>
    </row>
    <row r="158" spans="1:14" ht="12.75" hidden="1" customHeight="1">
      <c r="A158" s="3601"/>
      <c r="B158" s="1072" t="s">
        <v>11</v>
      </c>
      <c r="C158" s="3612" t="s">
        <v>181</v>
      </c>
      <c r="D158" s="87"/>
      <c r="E158" s="87"/>
      <c r="F158" s="1073"/>
      <c r="G158" s="1073"/>
      <c r="H158" s="1073"/>
      <c r="I158" s="1073"/>
      <c r="J158" s="1073"/>
      <c r="K158" s="1073"/>
      <c r="L158" s="1073"/>
      <c r="M158" s="3589"/>
      <c r="N158" s="3611"/>
    </row>
    <row r="159" spans="1:14" ht="12.75" hidden="1" customHeight="1">
      <c r="A159" s="3601"/>
      <c r="B159" s="1075" t="s">
        <v>265</v>
      </c>
      <c r="C159" s="3612"/>
      <c r="D159" s="1054"/>
      <c r="E159" s="1055"/>
      <c r="F159" s="1074"/>
      <c r="G159" s="1074"/>
      <c r="H159" s="1074"/>
      <c r="I159" s="1074"/>
      <c r="J159" s="1074"/>
      <c r="K159" s="1074"/>
      <c r="L159" s="1074"/>
      <c r="M159" s="3589"/>
      <c r="N159" s="3611"/>
    </row>
    <row r="160" spans="1:14" ht="11.25" hidden="1" customHeight="1">
      <c r="A160" s="3601"/>
      <c r="B160" s="1060" t="s">
        <v>25</v>
      </c>
      <c r="C160" s="3612"/>
      <c r="D160" s="835"/>
      <c r="E160" s="835"/>
      <c r="F160" s="1074"/>
      <c r="G160" s="1074"/>
      <c r="H160" s="1074"/>
      <c r="I160" s="1074"/>
      <c r="J160" s="1074"/>
      <c r="K160" s="1074"/>
      <c r="L160" s="1074"/>
      <c r="M160" s="3589"/>
      <c r="N160" s="3611"/>
    </row>
    <row r="161" spans="1:14" ht="12.75" hidden="1" customHeight="1">
      <c r="A161" s="3601"/>
      <c r="B161" s="1076" t="s">
        <v>18</v>
      </c>
      <c r="C161" s="3612"/>
      <c r="D161" s="87"/>
      <c r="E161" s="87"/>
      <c r="F161" s="1073"/>
      <c r="G161" s="1073"/>
      <c r="H161" s="1073"/>
      <c r="I161" s="1073"/>
      <c r="J161" s="1073"/>
      <c r="K161" s="1073"/>
      <c r="L161" s="1073"/>
      <c r="M161" s="3589"/>
      <c r="N161" s="3611"/>
    </row>
    <row r="162" spans="1:14" s="1079" customFormat="1" ht="15.75" hidden="1" customHeight="1">
      <c r="A162" s="3601"/>
      <c r="B162" s="1075" t="s">
        <v>390</v>
      </c>
      <c r="C162" s="3612"/>
      <c r="D162" s="1054"/>
      <c r="E162" s="1055"/>
      <c r="F162" s="1078"/>
      <c r="G162" s="1078"/>
      <c r="H162" s="1078"/>
      <c r="I162" s="1078"/>
      <c r="J162" s="1078"/>
      <c r="K162" s="1078"/>
      <c r="L162" s="1078"/>
      <c r="M162" s="3589"/>
      <c r="N162" s="3611"/>
    </row>
    <row r="163" spans="1:14" ht="35.25" hidden="1" customHeight="1">
      <c r="A163" s="3601">
        <v>0</v>
      </c>
      <c r="B163" s="1080" t="s">
        <v>184</v>
      </c>
      <c r="C163" s="1081" t="s">
        <v>81</v>
      </c>
      <c r="D163" s="1081"/>
      <c r="E163" s="1082"/>
      <c r="F163" s="1082"/>
      <c r="G163" s="1082"/>
      <c r="H163" s="1082"/>
      <c r="I163" s="1082"/>
      <c r="J163" s="1082"/>
      <c r="K163" s="1082"/>
      <c r="L163" s="1082"/>
      <c r="M163" s="1083"/>
      <c r="N163" s="3607" t="s">
        <v>185</v>
      </c>
    </row>
    <row r="164" spans="1:14" ht="11.25" hidden="1" customHeight="1">
      <c r="A164" s="3601"/>
      <c r="B164" s="1084" t="s">
        <v>10</v>
      </c>
      <c r="C164" s="1068"/>
      <c r="D164" s="1085"/>
      <c r="E164" s="1086"/>
      <c r="F164" s="1087"/>
      <c r="G164" s="1087"/>
      <c r="H164" s="1087"/>
      <c r="I164" s="1087"/>
      <c r="J164" s="1087"/>
      <c r="K164" s="1087"/>
      <c r="L164" s="1087"/>
      <c r="M164" s="1088"/>
      <c r="N164" s="3607"/>
    </row>
    <row r="165" spans="1:14" ht="11.25" hidden="1" customHeight="1">
      <c r="A165" s="3601"/>
      <c r="B165" s="1089" t="s">
        <v>11</v>
      </c>
      <c r="C165" s="3608" t="s">
        <v>178</v>
      </c>
      <c r="D165" s="1090"/>
      <c r="E165" s="1091"/>
      <c r="F165" s="1092"/>
      <c r="G165" s="1092"/>
      <c r="H165" s="1092"/>
      <c r="I165" s="1092"/>
      <c r="J165" s="1092"/>
      <c r="K165" s="1092"/>
      <c r="L165" s="1092"/>
      <c r="M165" s="1093"/>
      <c r="N165" s="3607"/>
    </row>
    <row r="166" spans="1:14" ht="11.25" hidden="1" customHeight="1">
      <c r="A166" s="3601"/>
      <c r="B166" s="1094" t="s">
        <v>12</v>
      </c>
      <c r="C166" s="3419"/>
      <c r="D166" s="1095"/>
      <c r="E166" s="1096"/>
      <c r="F166" s="1096"/>
      <c r="G166" s="1096"/>
      <c r="H166" s="1096"/>
      <c r="I166" s="1096"/>
      <c r="J166" s="1096"/>
      <c r="K166" s="1096"/>
      <c r="L166" s="1096"/>
      <c r="M166" s="1063"/>
      <c r="N166" s="3607"/>
    </row>
    <row r="167" spans="1:14" ht="11.25" hidden="1" customHeight="1">
      <c r="A167" s="3601"/>
      <c r="B167" s="1097" t="s">
        <v>13</v>
      </c>
      <c r="C167" s="3419"/>
      <c r="D167" s="1095"/>
      <c r="E167" s="1096"/>
      <c r="F167" s="1096"/>
      <c r="G167" s="1096"/>
      <c r="H167" s="1096"/>
      <c r="I167" s="1096"/>
      <c r="J167" s="1096"/>
      <c r="K167" s="1096"/>
      <c r="L167" s="1096"/>
      <c r="M167" s="1063"/>
      <c r="N167" s="3607"/>
    </row>
    <row r="168" spans="1:14" ht="11.25" hidden="1" customHeight="1">
      <c r="A168" s="3601"/>
      <c r="B168" s="1098" t="s">
        <v>18</v>
      </c>
      <c r="C168" s="3419"/>
      <c r="D168" s="1090"/>
      <c r="E168" s="1099"/>
      <c r="F168" s="1090"/>
      <c r="G168" s="1090"/>
      <c r="H168" s="1090"/>
      <c r="I168" s="1090"/>
      <c r="J168" s="1090"/>
      <c r="K168" s="1090"/>
      <c r="L168" s="1090"/>
      <c r="M168" s="1100"/>
      <c r="N168" s="3607"/>
    </row>
    <row r="169" spans="1:14" ht="11.25" hidden="1" customHeight="1">
      <c r="A169" s="3601"/>
      <c r="B169" s="1094" t="s">
        <v>21</v>
      </c>
      <c r="C169" s="3419"/>
      <c r="D169" s="1095"/>
      <c r="E169" s="1096"/>
      <c r="F169" s="1096"/>
      <c r="G169" s="1096"/>
      <c r="H169" s="1096"/>
      <c r="I169" s="1096"/>
      <c r="J169" s="1096"/>
      <c r="K169" s="1096"/>
      <c r="L169" s="1096"/>
      <c r="M169" s="1063"/>
      <c r="N169" s="3607"/>
    </row>
    <row r="170" spans="1:14" ht="11.25" hidden="1" customHeight="1">
      <c r="A170" s="3601"/>
      <c r="B170" s="1084" t="s">
        <v>22</v>
      </c>
      <c r="C170" s="1068"/>
      <c r="D170" s="1087"/>
      <c r="E170" s="1086"/>
      <c r="F170" s="1087"/>
      <c r="G170" s="1087"/>
      <c r="H170" s="1087"/>
      <c r="I170" s="1087"/>
      <c r="J170" s="1087"/>
      <c r="K170" s="1087"/>
      <c r="L170" s="1087"/>
      <c r="M170" s="1101"/>
      <c r="N170" s="3607"/>
    </row>
    <row r="171" spans="1:14" ht="11.25" hidden="1" customHeight="1">
      <c r="A171" s="3601"/>
      <c r="B171" s="1089" t="s">
        <v>11</v>
      </c>
      <c r="C171" s="3609" t="s">
        <v>178</v>
      </c>
      <c r="D171" s="1090"/>
      <c r="E171" s="1091"/>
      <c r="F171" s="1092"/>
      <c r="G171" s="1092"/>
      <c r="H171" s="1092"/>
      <c r="I171" s="1092"/>
      <c r="J171" s="1092"/>
      <c r="K171" s="1092"/>
      <c r="L171" s="1092"/>
      <c r="M171" s="1101"/>
      <c r="N171" s="3607"/>
    </row>
    <row r="172" spans="1:14" ht="11.25" hidden="1" customHeight="1">
      <c r="A172" s="3601"/>
      <c r="B172" s="1097" t="s">
        <v>13</v>
      </c>
      <c r="C172" s="3610"/>
      <c r="D172" s="1095"/>
      <c r="E172" s="1096"/>
      <c r="F172" s="1096"/>
      <c r="G172" s="1096"/>
      <c r="H172" s="1096"/>
      <c r="I172" s="1096"/>
      <c r="J172" s="1096"/>
      <c r="K172" s="1096"/>
      <c r="L172" s="1096"/>
      <c r="M172" s="1101"/>
      <c r="N172" s="3607"/>
    </row>
    <row r="173" spans="1:14" ht="11.25" hidden="1" customHeight="1">
      <c r="A173" s="3601"/>
      <c r="B173" s="1094" t="s">
        <v>25</v>
      </c>
      <c r="C173" s="3610"/>
      <c r="D173" s="1095"/>
      <c r="E173" s="1096"/>
      <c r="F173" s="1096"/>
      <c r="G173" s="1096"/>
      <c r="H173" s="1096"/>
      <c r="I173" s="1096"/>
      <c r="J173" s="1096"/>
      <c r="K173" s="1096"/>
      <c r="L173" s="1096"/>
      <c r="M173" s="1101"/>
      <c r="N173" s="3607"/>
    </row>
    <row r="174" spans="1:14" ht="11.25" hidden="1" customHeight="1">
      <c r="A174" s="3601"/>
      <c r="B174" s="1098" t="s">
        <v>18</v>
      </c>
      <c r="C174" s="3610"/>
      <c r="D174" s="1090"/>
      <c r="E174" s="1091"/>
      <c r="F174" s="1092"/>
      <c r="G174" s="1092"/>
      <c r="H174" s="1092"/>
      <c r="I174" s="1092"/>
      <c r="J174" s="1092"/>
      <c r="K174" s="1092"/>
      <c r="L174" s="1092"/>
      <c r="M174" s="1101"/>
      <c r="N174" s="3607"/>
    </row>
    <row r="175" spans="1:14" ht="11.25" hidden="1" customHeight="1">
      <c r="A175" s="3601"/>
      <c r="B175" s="1097" t="s">
        <v>21</v>
      </c>
      <c r="C175" s="3610"/>
      <c r="D175" s="1095"/>
      <c r="E175" s="1102"/>
      <c r="F175" s="1096"/>
      <c r="G175" s="1096"/>
      <c r="H175" s="1096"/>
      <c r="I175" s="1096"/>
      <c r="J175" s="1096"/>
      <c r="K175" s="1096"/>
      <c r="L175" s="1096"/>
      <c r="M175" s="1101"/>
      <c r="N175" s="3607"/>
    </row>
    <row r="176" spans="1:14" ht="11.25" hidden="1" customHeight="1" thickBot="1">
      <c r="A176" s="3601"/>
      <c r="B176" s="1097" t="s">
        <v>20</v>
      </c>
      <c r="C176" s="3610"/>
      <c r="D176" s="1095"/>
      <c r="E176" s="1062"/>
      <c r="F176" s="1062"/>
      <c r="G176" s="1062"/>
      <c r="H176" s="1062"/>
      <c r="I176" s="1062"/>
      <c r="J176" s="1062"/>
      <c r="K176" s="1062"/>
      <c r="L176" s="1062"/>
      <c r="M176" s="1063"/>
      <c r="N176" s="3607"/>
    </row>
    <row r="177" spans="1:15" s="1079" customFormat="1" ht="36" customHeight="1">
      <c r="A177" s="1926" t="s">
        <v>186</v>
      </c>
      <c r="B177" s="1927"/>
      <c r="C177" s="1927"/>
      <c r="D177" s="1927"/>
      <c r="E177" s="1927"/>
      <c r="F177" s="1927"/>
      <c r="G177" s="1927"/>
      <c r="H177" s="1927"/>
      <c r="I177" s="1927"/>
      <c r="J177" s="1927"/>
      <c r="K177" s="1927"/>
      <c r="L177" s="1927"/>
      <c r="M177" s="1928"/>
      <c r="N177" s="1929"/>
    </row>
    <row r="178" spans="1:15" s="2737" customFormat="1" ht="19.5" customHeight="1">
      <c r="A178" s="1930"/>
      <c r="B178" s="971" t="s">
        <v>76</v>
      </c>
      <c r="C178" s="250"/>
      <c r="D178" s="251">
        <f>+D179+D180</f>
        <v>144060800</v>
      </c>
      <c r="E178" s="1812">
        <f>+E179+E180</f>
        <v>0</v>
      </c>
      <c r="F178" s="251">
        <f t="shared" ref="F178:M178" si="65">+F179+F180</f>
        <v>27618240</v>
      </c>
      <c r="G178" s="251">
        <f t="shared" si="65"/>
        <v>18864240</v>
      </c>
      <c r="H178" s="251">
        <f t="shared" si="65"/>
        <v>36547360</v>
      </c>
      <c r="I178" s="251">
        <f t="shared" si="65"/>
        <v>20384000</v>
      </c>
      <c r="J178" s="251">
        <f t="shared" si="65"/>
        <v>40060800</v>
      </c>
      <c r="K178" s="251">
        <f t="shared" si="65"/>
        <v>586160</v>
      </c>
      <c r="L178" s="251">
        <f t="shared" si="65"/>
        <v>0</v>
      </c>
      <c r="M178" s="168">
        <f t="shared" si="65"/>
        <v>83029840</v>
      </c>
      <c r="N178" s="17"/>
    </row>
    <row r="179" spans="1:15" s="2737" customFormat="1" ht="12.75" customHeight="1">
      <c r="A179" s="976"/>
      <c r="B179" s="1813" t="s">
        <v>77</v>
      </c>
      <c r="C179" s="1814"/>
      <c r="D179" s="1931">
        <f>D204</f>
        <v>0</v>
      </c>
      <c r="E179" s="1932">
        <f t="shared" ref="E179:L179" si="66">E204</f>
        <v>0</v>
      </c>
      <c r="F179" s="1931">
        <f t="shared" si="66"/>
        <v>0</v>
      </c>
      <c r="G179" s="1931">
        <f t="shared" si="66"/>
        <v>0</v>
      </c>
      <c r="H179" s="1931">
        <f t="shared" si="66"/>
        <v>0</v>
      </c>
      <c r="I179" s="1931">
        <f t="shared" si="66"/>
        <v>0</v>
      </c>
      <c r="J179" s="1931">
        <f t="shared" si="66"/>
        <v>0</v>
      </c>
      <c r="K179" s="1931">
        <f t="shared" si="66"/>
        <v>0</v>
      </c>
      <c r="L179" s="1931">
        <f t="shared" si="66"/>
        <v>0</v>
      </c>
      <c r="M179" s="1933">
        <f>SUM(F179:H179)</f>
        <v>0</v>
      </c>
      <c r="N179" s="17"/>
    </row>
    <row r="180" spans="1:15" s="2737" customFormat="1" ht="15" customHeight="1">
      <c r="A180" s="976"/>
      <c r="B180" s="1815" t="s">
        <v>9</v>
      </c>
      <c r="C180" s="1816"/>
      <c r="D180" s="1934">
        <f>+D208+D195</f>
        <v>144060800</v>
      </c>
      <c r="E180" s="1935">
        <f t="shared" ref="E180:L180" si="67">+E208+E195</f>
        <v>0</v>
      </c>
      <c r="F180" s="1934">
        <f t="shared" si="67"/>
        <v>27618240</v>
      </c>
      <c r="G180" s="1934">
        <f t="shared" si="67"/>
        <v>18864240</v>
      </c>
      <c r="H180" s="1934">
        <f t="shared" si="67"/>
        <v>36547360</v>
      </c>
      <c r="I180" s="1934">
        <f t="shared" si="67"/>
        <v>20384000</v>
      </c>
      <c r="J180" s="1934">
        <f t="shared" si="67"/>
        <v>40060800</v>
      </c>
      <c r="K180" s="1934">
        <f t="shared" si="67"/>
        <v>586160</v>
      </c>
      <c r="L180" s="1934">
        <f t="shared" si="67"/>
        <v>0</v>
      </c>
      <c r="M180" s="1933">
        <f>SUM(F180:H180)</f>
        <v>83029840</v>
      </c>
      <c r="N180" s="17"/>
      <c r="O180" s="374"/>
    </row>
    <row r="181" spans="1:15" ht="14.25" customHeight="1">
      <c r="A181" s="976"/>
      <c r="B181" s="826" t="s">
        <v>10</v>
      </c>
      <c r="C181" s="1936"/>
      <c r="D181" s="1937">
        <f>+D182</f>
        <v>144060800</v>
      </c>
      <c r="E181" s="1939">
        <f t="shared" ref="E181:L181" si="68">+E182</f>
        <v>0</v>
      </c>
      <c r="F181" s="1938">
        <f t="shared" si="68"/>
        <v>27618240</v>
      </c>
      <c r="G181" s="1938">
        <f t="shared" si="68"/>
        <v>18864240</v>
      </c>
      <c r="H181" s="1938">
        <f t="shared" si="68"/>
        <v>36547360</v>
      </c>
      <c r="I181" s="1938">
        <f t="shared" si="68"/>
        <v>20384000</v>
      </c>
      <c r="J181" s="1938">
        <f t="shared" si="68"/>
        <v>40060800</v>
      </c>
      <c r="K181" s="1938">
        <f t="shared" si="68"/>
        <v>586160</v>
      </c>
      <c r="L181" s="1938">
        <f t="shared" si="68"/>
        <v>0</v>
      </c>
      <c r="M181" s="1940">
        <f>+M182</f>
        <v>144060800</v>
      </c>
      <c r="N181" s="17"/>
      <c r="O181" s="654"/>
    </row>
    <row r="182" spans="1:15" ht="12.95" customHeight="1">
      <c r="A182" s="1941"/>
      <c r="B182" s="972" t="s">
        <v>11</v>
      </c>
      <c r="C182" s="1942"/>
      <c r="D182" s="1943">
        <f>+D186+D187+D183</f>
        <v>144060800</v>
      </c>
      <c r="E182" s="1944">
        <f t="shared" ref="E182:L182" si="69">+E186+E187+E183</f>
        <v>0</v>
      </c>
      <c r="F182" s="1943">
        <f t="shared" si="69"/>
        <v>27618240</v>
      </c>
      <c r="G182" s="1943">
        <f t="shared" si="69"/>
        <v>18864240</v>
      </c>
      <c r="H182" s="1943">
        <f t="shared" si="69"/>
        <v>36547360</v>
      </c>
      <c r="I182" s="1943">
        <f t="shared" si="69"/>
        <v>20384000</v>
      </c>
      <c r="J182" s="1943">
        <f t="shared" si="69"/>
        <v>40060800</v>
      </c>
      <c r="K182" s="1943">
        <f t="shared" si="69"/>
        <v>586160</v>
      </c>
      <c r="L182" s="1943">
        <f t="shared" si="69"/>
        <v>0</v>
      </c>
      <c r="M182" s="1945">
        <f>+M186+M187</f>
        <v>144060800</v>
      </c>
      <c r="N182" s="17"/>
    </row>
    <row r="183" spans="1:15" ht="12.95" hidden="1" customHeight="1">
      <c r="A183" s="1946"/>
      <c r="B183" s="973" t="s">
        <v>12</v>
      </c>
      <c r="C183" s="1947"/>
      <c r="D183" s="1948">
        <f>D205</f>
        <v>0</v>
      </c>
      <c r="E183" s="1949">
        <f t="shared" ref="E183:L183" si="70">E205</f>
        <v>0</v>
      </c>
      <c r="F183" s="1948">
        <f t="shared" si="70"/>
        <v>0</v>
      </c>
      <c r="G183" s="1948">
        <f t="shared" si="70"/>
        <v>0</v>
      </c>
      <c r="H183" s="1948">
        <f t="shared" si="70"/>
        <v>0</v>
      </c>
      <c r="I183" s="1948">
        <f t="shared" si="70"/>
        <v>0</v>
      </c>
      <c r="J183" s="1948">
        <f t="shared" si="70"/>
        <v>0</v>
      </c>
      <c r="K183" s="1948">
        <f t="shared" si="70"/>
        <v>0</v>
      </c>
      <c r="L183" s="1948">
        <f t="shared" si="70"/>
        <v>0</v>
      </c>
      <c r="M183" s="1950"/>
      <c r="N183" s="17"/>
    </row>
    <row r="184" spans="1:15" ht="13.5" hidden="1" customHeight="1">
      <c r="A184" s="1946"/>
      <c r="B184" s="1444" t="s">
        <v>13</v>
      </c>
      <c r="C184" s="1951"/>
      <c r="D184" s="1952">
        <v>0</v>
      </c>
      <c r="E184" s="1953">
        <v>0</v>
      </c>
      <c r="F184" s="1952"/>
      <c r="G184" s="1952"/>
      <c r="H184" s="1952"/>
      <c r="I184" s="1952"/>
      <c r="J184" s="1952"/>
      <c r="K184" s="1952"/>
      <c r="L184" s="1952"/>
      <c r="M184" s="1950"/>
      <c r="N184" s="17"/>
    </row>
    <row r="185" spans="1:15" ht="12.75" hidden="1" customHeight="1">
      <c r="A185" s="1946"/>
      <c r="B185" s="974" t="s">
        <v>13</v>
      </c>
      <c r="C185" s="1951"/>
      <c r="D185" s="1952">
        <v>0</v>
      </c>
      <c r="E185" s="1953">
        <v>0</v>
      </c>
      <c r="F185" s="1952"/>
      <c r="G185" s="1952"/>
      <c r="H185" s="1952"/>
      <c r="I185" s="1952"/>
      <c r="J185" s="1952"/>
      <c r="K185" s="1952"/>
      <c r="L185" s="1952"/>
      <c r="M185" s="1950"/>
      <c r="N185" s="17"/>
    </row>
    <row r="186" spans="1:15" s="1079" customFormat="1" ht="12.75" customHeight="1">
      <c r="A186" s="1955"/>
      <c r="B186" s="1817" t="s">
        <v>14</v>
      </c>
      <c r="C186" s="1951"/>
      <c r="D186" s="1952">
        <f>+D197</f>
        <v>144060800</v>
      </c>
      <c r="E186" s="1954">
        <f t="shared" ref="E186:L186" si="71">+E197</f>
        <v>0</v>
      </c>
      <c r="F186" s="1952">
        <f t="shared" si="71"/>
        <v>27618240</v>
      </c>
      <c r="G186" s="1952">
        <f t="shared" si="71"/>
        <v>18864240</v>
      </c>
      <c r="H186" s="1952">
        <f t="shared" si="71"/>
        <v>36547360</v>
      </c>
      <c r="I186" s="1952">
        <f t="shared" si="71"/>
        <v>20384000</v>
      </c>
      <c r="J186" s="1952">
        <f t="shared" si="71"/>
        <v>40060800</v>
      </c>
      <c r="K186" s="1952">
        <f t="shared" si="71"/>
        <v>586160</v>
      </c>
      <c r="L186" s="1952">
        <f t="shared" si="71"/>
        <v>0</v>
      </c>
      <c r="M186" s="1950">
        <f>SUM(F186:L186)</f>
        <v>144060800</v>
      </c>
      <c r="N186" s="1111"/>
    </row>
    <row r="187" spans="1:15" ht="12.75" hidden="1" customHeight="1">
      <c r="A187" s="1946"/>
      <c r="B187" s="973" t="s">
        <v>62</v>
      </c>
      <c r="C187" s="975"/>
      <c r="D187" s="1948">
        <f>+D210+D198</f>
        <v>0</v>
      </c>
      <c r="E187" s="1949">
        <f>+E210+E198</f>
        <v>0</v>
      </c>
      <c r="F187" s="1948"/>
      <c r="G187" s="1948"/>
      <c r="H187" s="1948"/>
      <c r="I187" s="1948"/>
      <c r="J187" s="1948"/>
      <c r="K187" s="1948"/>
      <c r="L187" s="1948"/>
      <c r="M187" s="1950">
        <f>SUM(F187:I187)</f>
        <v>0</v>
      </c>
      <c r="N187" s="17"/>
    </row>
    <row r="188" spans="1:15" ht="15" customHeight="1">
      <c r="A188" s="976"/>
      <c r="B188" s="826" t="s">
        <v>22</v>
      </c>
      <c r="C188" s="1105"/>
      <c r="D188" s="1956">
        <f>+D189</f>
        <v>144060800</v>
      </c>
      <c r="E188" s="1957">
        <f t="shared" ref="E188:L188" si="72">+E189</f>
        <v>0</v>
      </c>
      <c r="F188" s="1956">
        <f t="shared" si="72"/>
        <v>27618240</v>
      </c>
      <c r="G188" s="1956">
        <f t="shared" si="72"/>
        <v>18864240</v>
      </c>
      <c r="H188" s="1956">
        <f t="shared" si="72"/>
        <v>36547360</v>
      </c>
      <c r="I188" s="1956">
        <f t="shared" si="72"/>
        <v>20384000</v>
      </c>
      <c r="J188" s="1956">
        <f t="shared" si="72"/>
        <v>40060800</v>
      </c>
      <c r="K188" s="1956">
        <f t="shared" si="72"/>
        <v>586160</v>
      </c>
      <c r="L188" s="1956">
        <f t="shared" si="72"/>
        <v>0</v>
      </c>
      <c r="M188" s="3588" t="s">
        <v>23</v>
      </c>
      <c r="N188" s="17"/>
    </row>
    <row r="189" spans="1:15" ht="12" customHeight="1">
      <c r="A189" s="1958"/>
      <c r="B189" s="972" t="s">
        <v>11</v>
      </c>
      <c r="C189" s="1942"/>
      <c r="D189" s="1943">
        <f>SUM(D191:D193)</f>
        <v>144060800</v>
      </c>
      <c r="E189" s="1944">
        <f>SUM(E191:E193)</f>
        <v>0</v>
      </c>
      <c r="F189" s="1943">
        <f t="shared" ref="F189:L189" si="73">SUM(F191:F193)</f>
        <v>27618240</v>
      </c>
      <c r="G189" s="1943">
        <f t="shared" si="73"/>
        <v>18864240</v>
      </c>
      <c r="H189" s="1943">
        <f t="shared" si="73"/>
        <v>36547360</v>
      </c>
      <c r="I189" s="1943">
        <f t="shared" si="73"/>
        <v>20384000</v>
      </c>
      <c r="J189" s="1943">
        <f t="shared" si="73"/>
        <v>40060800</v>
      </c>
      <c r="K189" s="1943">
        <f t="shared" si="73"/>
        <v>586160</v>
      </c>
      <c r="L189" s="1943">
        <f t="shared" si="73"/>
        <v>0</v>
      </c>
      <c r="M189" s="3589"/>
      <c r="N189" s="17"/>
    </row>
    <row r="190" spans="1:15" ht="13.5" hidden="1" customHeight="1">
      <c r="A190" s="1946"/>
      <c r="B190" s="974" t="s">
        <v>13</v>
      </c>
      <c r="C190" s="975"/>
      <c r="D190" s="1959">
        <v>0</v>
      </c>
      <c r="E190" s="1960">
        <v>0</v>
      </c>
      <c r="F190" s="1948"/>
      <c r="G190" s="1948"/>
      <c r="H190" s="1948"/>
      <c r="I190" s="1948"/>
      <c r="J190" s="1948"/>
      <c r="K190" s="1948"/>
      <c r="L190" s="1948"/>
      <c r="M190" s="3589"/>
      <c r="N190" s="17"/>
    </row>
    <row r="191" spans="1:15" ht="12.95" hidden="1" customHeight="1">
      <c r="A191" s="1946"/>
      <c r="B191" s="974" t="s">
        <v>13</v>
      </c>
      <c r="C191" s="1947"/>
      <c r="D191" s="1959">
        <v>0</v>
      </c>
      <c r="E191" s="1960">
        <v>0</v>
      </c>
      <c r="F191" s="1959"/>
      <c r="G191" s="1959"/>
      <c r="H191" s="1959"/>
      <c r="I191" s="1959"/>
      <c r="J191" s="1959"/>
      <c r="K191" s="1959"/>
      <c r="L191" s="1959"/>
      <c r="M191" s="3589"/>
      <c r="N191" s="17"/>
    </row>
    <row r="192" spans="1:15" ht="13.5" customHeight="1" thickBot="1">
      <c r="A192" s="1946"/>
      <c r="B192" s="973" t="s">
        <v>14</v>
      </c>
      <c r="C192" s="1947"/>
      <c r="D192" s="1959">
        <f>+D201</f>
        <v>144060800</v>
      </c>
      <c r="E192" s="1960">
        <f t="shared" ref="E192:L192" si="74">+E201</f>
        <v>0</v>
      </c>
      <c r="F192" s="1959">
        <f t="shared" si="74"/>
        <v>27618240</v>
      </c>
      <c r="G192" s="1959">
        <f t="shared" si="74"/>
        <v>18864240</v>
      </c>
      <c r="H192" s="1959">
        <f t="shared" si="74"/>
        <v>36547360</v>
      </c>
      <c r="I192" s="1959">
        <f t="shared" si="74"/>
        <v>20384000</v>
      </c>
      <c r="J192" s="1959">
        <f t="shared" si="74"/>
        <v>40060800</v>
      </c>
      <c r="K192" s="1959">
        <f t="shared" si="74"/>
        <v>586160</v>
      </c>
      <c r="L192" s="1959">
        <f t="shared" si="74"/>
        <v>0</v>
      </c>
      <c r="M192" s="3589"/>
      <c r="N192" s="17"/>
    </row>
    <row r="193" spans="1:14" ht="14.25" hidden="1" customHeight="1" thickBot="1">
      <c r="A193" s="1961"/>
      <c r="B193" s="1404" t="s">
        <v>62</v>
      </c>
      <c r="C193" s="1405"/>
      <c r="D193" s="1406">
        <f>+D213+D202</f>
        <v>0</v>
      </c>
      <c r="E193" s="1406">
        <f>+E213+E202</f>
        <v>0</v>
      </c>
      <c r="F193" s="1406"/>
      <c r="G193" s="1406"/>
      <c r="H193" s="1406"/>
      <c r="I193" s="1406"/>
      <c r="J193" s="1406"/>
      <c r="K193" s="1406"/>
      <c r="L193" s="1406"/>
      <c r="M193" s="3590"/>
      <c r="N193" s="1962"/>
    </row>
    <row r="194" spans="1:14" ht="41.25" customHeight="1">
      <c r="A194" s="3128" t="s">
        <v>63</v>
      </c>
      <c r="B194" s="1818" t="s">
        <v>424</v>
      </c>
      <c r="C194" s="1819" t="s">
        <v>81</v>
      </c>
      <c r="D194" s="1819"/>
      <c r="E194" s="67"/>
      <c r="F194" s="1820"/>
      <c r="G194" s="1820"/>
      <c r="H194" s="1820"/>
      <c r="I194" s="1820"/>
      <c r="J194" s="1820"/>
      <c r="K194" s="1820"/>
      <c r="L194" s="1820"/>
      <c r="M194" s="1821"/>
      <c r="N194" s="3595" t="s">
        <v>177</v>
      </c>
    </row>
    <row r="195" spans="1:14" ht="15.75" customHeight="1">
      <c r="A195" s="3129"/>
      <c r="B195" s="826" t="s">
        <v>10</v>
      </c>
      <c r="C195" s="1047"/>
      <c r="D195" s="1956">
        <f>+D196</f>
        <v>144060800</v>
      </c>
      <c r="E195" s="1956">
        <f t="shared" ref="E195:L195" si="75">+E196</f>
        <v>0</v>
      </c>
      <c r="F195" s="1956">
        <f t="shared" si="75"/>
        <v>27618240</v>
      </c>
      <c r="G195" s="1956">
        <f t="shared" si="75"/>
        <v>18864240</v>
      </c>
      <c r="H195" s="1956">
        <f t="shared" si="75"/>
        <v>36547360</v>
      </c>
      <c r="I195" s="1956">
        <f t="shared" si="75"/>
        <v>20384000</v>
      </c>
      <c r="J195" s="1956">
        <f t="shared" si="75"/>
        <v>40060800</v>
      </c>
      <c r="K195" s="1956">
        <f t="shared" si="75"/>
        <v>586160</v>
      </c>
      <c r="L195" s="1956">
        <f t="shared" si="75"/>
        <v>0</v>
      </c>
      <c r="M195" s="1963">
        <f>+M196</f>
        <v>144060800</v>
      </c>
      <c r="N195" s="3596"/>
    </row>
    <row r="196" spans="1:14" s="1079" customFormat="1" ht="15.75" customHeight="1">
      <c r="A196" s="3129"/>
      <c r="B196" s="1030" t="s">
        <v>11</v>
      </c>
      <c r="C196" s="3598" t="s">
        <v>418</v>
      </c>
      <c r="D196" s="1964">
        <f>+D198+D197</f>
        <v>144060800</v>
      </c>
      <c r="E196" s="1965">
        <f t="shared" ref="E196" si="76">+E198+E197</f>
        <v>0</v>
      </c>
      <c r="F196" s="1965">
        <f t="shared" ref="F196:L196" si="77">+F198+F197</f>
        <v>27618240</v>
      </c>
      <c r="G196" s="1965">
        <f t="shared" si="77"/>
        <v>18864240</v>
      </c>
      <c r="H196" s="1965">
        <f t="shared" si="77"/>
        <v>36547360</v>
      </c>
      <c r="I196" s="1965">
        <f t="shared" si="77"/>
        <v>20384000</v>
      </c>
      <c r="J196" s="1965">
        <f t="shared" si="77"/>
        <v>40060800</v>
      </c>
      <c r="K196" s="1965">
        <f t="shared" si="77"/>
        <v>586160</v>
      </c>
      <c r="L196" s="1965">
        <f t="shared" si="77"/>
        <v>0</v>
      </c>
      <c r="M196" s="1966">
        <f>M198+M197</f>
        <v>144060800</v>
      </c>
      <c r="N196" s="3596"/>
    </row>
    <row r="197" spans="1:14" s="1079" customFormat="1" ht="15.75" customHeight="1">
      <c r="A197" s="3129"/>
      <c r="B197" s="1032" t="s">
        <v>14</v>
      </c>
      <c r="C197" s="3599"/>
      <c r="D197" s="280">
        <f>E197+F197+G197+H197+I197+J197+K197+L197</f>
        <v>144060800</v>
      </c>
      <c r="E197" s="2205"/>
      <c r="F197" s="1970">
        <v>27618240</v>
      </c>
      <c r="G197" s="1970">
        <v>18864240</v>
      </c>
      <c r="H197" s="1970">
        <v>36547360</v>
      </c>
      <c r="I197" s="1970">
        <v>20384000</v>
      </c>
      <c r="J197" s="1970">
        <v>40060800</v>
      </c>
      <c r="K197" s="1970">
        <v>586160</v>
      </c>
      <c r="L197" s="1970">
        <v>0</v>
      </c>
      <c r="M197" s="2799">
        <f>SUM(F197:L197)</f>
        <v>144060800</v>
      </c>
      <c r="N197" s="3596"/>
    </row>
    <row r="198" spans="1:14" ht="13.5" hidden="1" customHeight="1">
      <c r="A198" s="3129"/>
      <c r="B198" s="989" t="s">
        <v>16</v>
      </c>
      <c r="C198" s="3600"/>
      <c r="D198" s="1923"/>
      <c r="E198" s="1968"/>
      <c r="F198" s="1967"/>
      <c r="G198" s="1967"/>
      <c r="H198" s="1967"/>
      <c r="I198" s="1967"/>
      <c r="J198" s="1967"/>
      <c r="K198" s="1967"/>
      <c r="L198" s="1967"/>
      <c r="M198" s="1950">
        <f>SUM(F198:I198)</f>
        <v>0</v>
      </c>
      <c r="N198" s="3596"/>
    </row>
    <row r="199" spans="1:14" ht="15" customHeight="1">
      <c r="A199" s="3129"/>
      <c r="B199" s="826" t="s">
        <v>22</v>
      </c>
      <c r="C199" s="1047"/>
      <c r="D199" s="1956">
        <f>+D200</f>
        <v>144060800</v>
      </c>
      <c r="E199" s="1956">
        <f t="shared" ref="E199:L199" si="78">+E200</f>
        <v>0</v>
      </c>
      <c r="F199" s="1956">
        <f t="shared" si="78"/>
        <v>27618240</v>
      </c>
      <c r="G199" s="1956">
        <f t="shared" si="78"/>
        <v>18864240</v>
      </c>
      <c r="H199" s="1956">
        <f t="shared" si="78"/>
        <v>36547360</v>
      </c>
      <c r="I199" s="1956">
        <f t="shared" si="78"/>
        <v>20384000</v>
      </c>
      <c r="J199" s="1956">
        <f t="shared" si="78"/>
        <v>40060800</v>
      </c>
      <c r="K199" s="1956">
        <f t="shared" si="78"/>
        <v>586160</v>
      </c>
      <c r="L199" s="1956">
        <f t="shared" si="78"/>
        <v>0</v>
      </c>
      <c r="M199" s="3592" t="s">
        <v>61</v>
      </c>
      <c r="N199" s="3596"/>
    </row>
    <row r="200" spans="1:14" s="1079" customFormat="1" ht="15" customHeight="1">
      <c r="A200" s="3129"/>
      <c r="B200" s="1030" t="s">
        <v>11</v>
      </c>
      <c r="C200" s="3172" t="s">
        <v>418</v>
      </c>
      <c r="D200" s="1964">
        <f>+D202+D201</f>
        <v>144060800</v>
      </c>
      <c r="E200" s="1965">
        <f>+E202+E201</f>
        <v>0</v>
      </c>
      <c r="F200" s="1965">
        <f t="shared" ref="F200:L200" si="79">+F202+F201</f>
        <v>27618240</v>
      </c>
      <c r="G200" s="1965">
        <f t="shared" si="79"/>
        <v>18864240</v>
      </c>
      <c r="H200" s="1965">
        <f t="shared" si="79"/>
        <v>36547360</v>
      </c>
      <c r="I200" s="1965">
        <f t="shared" si="79"/>
        <v>20384000</v>
      </c>
      <c r="J200" s="1965">
        <f t="shared" si="79"/>
        <v>40060800</v>
      </c>
      <c r="K200" s="1965">
        <f t="shared" si="79"/>
        <v>586160</v>
      </c>
      <c r="L200" s="1965">
        <f t="shared" si="79"/>
        <v>0</v>
      </c>
      <c r="M200" s="3593"/>
      <c r="N200" s="3596"/>
    </row>
    <row r="201" spans="1:14" ht="15" customHeight="1" thickBot="1">
      <c r="A201" s="3130"/>
      <c r="B201" s="84" t="s">
        <v>14</v>
      </c>
      <c r="C201" s="3591"/>
      <c r="D201" s="1336">
        <f>E201+F201+G201+H201+I201+J201+K201+L201</f>
        <v>144060800</v>
      </c>
      <c r="E201" s="1340"/>
      <c r="F201" s="621">
        <v>27618240</v>
      </c>
      <c r="G201" s="621">
        <v>18864240</v>
      </c>
      <c r="H201" s="621">
        <v>36547360</v>
      </c>
      <c r="I201" s="621">
        <v>20384000</v>
      </c>
      <c r="J201" s="621">
        <v>40060800</v>
      </c>
      <c r="K201" s="621">
        <v>586160</v>
      </c>
      <c r="L201" s="1005">
        <v>0</v>
      </c>
      <c r="M201" s="3594"/>
      <c r="N201" s="3597"/>
    </row>
    <row r="202" spans="1:14" ht="13.5" hidden="1" customHeight="1" thickBot="1">
      <c r="A202" s="1822"/>
      <c r="B202" s="1823" t="s">
        <v>16</v>
      </c>
      <c r="C202" s="1824"/>
      <c r="D202" s="1805"/>
      <c r="E202" s="1826"/>
      <c r="F202" s="1827"/>
      <c r="G202" s="1828"/>
      <c r="H202" s="1828"/>
      <c r="I202" s="1828"/>
      <c r="J202" s="1828"/>
      <c r="K202" s="1828"/>
      <c r="L202" s="1828"/>
      <c r="M202" s="1829"/>
      <c r="N202" s="1830"/>
    </row>
    <row r="203" spans="1:14" s="1024" customFormat="1" ht="29.25" hidden="1" customHeight="1">
      <c r="A203" s="3601" t="s">
        <v>64</v>
      </c>
      <c r="B203" s="1007" t="s">
        <v>419</v>
      </c>
      <c r="C203" s="1044" t="s">
        <v>111</v>
      </c>
      <c r="D203" s="1044"/>
      <c r="E203" s="94"/>
      <c r="F203" s="1049"/>
      <c r="G203" s="1049"/>
      <c r="H203" s="1049"/>
      <c r="I203" s="1049"/>
      <c r="J203" s="1049"/>
      <c r="K203" s="1049"/>
      <c r="L203" s="1049"/>
      <c r="M203" s="1009"/>
      <c r="N203" s="3602" t="s">
        <v>177</v>
      </c>
    </row>
    <row r="204" spans="1:14" s="1024" customFormat="1" ht="16.5" hidden="1" customHeight="1">
      <c r="A204" s="3601"/>
      <c r="B204" s="826" t="s">
        <v>10</v>
      </c>
      <c r="C204" s="1047"/>
      <c r="D204" s="982"/>
      <c r="E204" s="1106"/>
      <c r="F204" s="1106"/>
      <c r="G204" s="1106"/>
      <c r="H204" s="982"/>
      <c r="I204" s="982"/>
      <c r="J204" s="982"/>
      <c r="K204" s="982"/>
      <c r="L204" s="983"/>
      <c r="M204" s="1028">
        <f>M205</f>
        <v>0</v>
      </c>
      <c r="N204" s="3602"/>
    </row>
    <row r="205" spans="1:14" s="1024" customFormat="1" ht="13.5" hidden="1" customHeight="1">
      <c r="A205" s="3601"/>
      <c r="B205" s="985" t="s">
        <v>11</v>
      </c>
      <c r="C205" s="3598" t="s">
        <v>189</v>
      </c>
      <c r="D205" s="987"/>
      <c r="E205" s="1016"/>
      <c r="F205" s="1016"/>
      <c r="G205" s="1016"/>
      <c r="H205" s="987"/>
      <c r="I205" s="987"/>
      <c r="J205" s="987"/>
      <c r="K205" s="987"/>
      <c r="L205" s="987"/>
      <c r="M205" s="1031">
        <f>M206</f>
        <v>0</v>
      </c>
      <c r="N205" s="3602"/>
    </row>
    <row r="206" spans="1:14" s="1024" customFormat="1" ht="13.5" hidden="1" customHeight="1" thickBot="1">
      <c r="A206" s="3604"/>
      <c r="B206" s="90" t="s">
        <v>12</v>
      </c>
      <c r="C206" s="3606"/>
      <c r="D206" s="1004"/>
      <c r="E206" s="1806"/>
      <c r="F206" s="1831"/>
      <c r="G206" s="1831"/>
      <c r="H206" s="1832"/>
      <c r="I206" s="1832"/>
      <c r="J206" s="1832"/>
      <c r="K206" s="1832"/>
      <c r="L206" s="1832"/>
      <c r="M206" s="1833">
        <f>SUM(F206:L206)</f>
        <v>0</v>
      </c>
      <c r="N206" s="3605"/>
    </row>
    <row r="207" spans="1:14" ht="19.5" hidden="1" customHeight="1">
      <c r="A207" s="3601"/>
      <c r="B207" s="1007"/>
      <c r="C207" s="1044" t="s">
        <v>81</v>
      </c>
      <c r="D207" s="1407"/>
      <c r="E207" s="94"/>
      <c r="F207" s="94"/>
      <c r="G207" s="1049"/>
      <c r="H207" s="1049"/>
      <c r="I207" s="1049"/>
      <c r="J207" s="1049"/>
      <c r="K207" s="1049"/>
      <c r="L207" s="1049"/>
      <c r="M207" s="1009"/>
      <c r="N207" s="3602"/>
    </row>
    <row r="208" spans="1:14" ht="12.75" hidden="1" customHeight="1">
      <c r="A208" s="3601"/>
      <c r="B208" s="826" t="s">
        <v>10</v>
      </c>
      <c r="C208" s="1047"/>
      <c r="D208" s="1103"/>
      <c r="E208" s="1104"/>
      <c r="F208" s="983"/>
      <c r="G208" s="982"/>
      <c r="H208" s="982"/>
      <c r="I208" s="982"/>
      <c r="J208" s="982"/>
      <c r="K208" s="982"/>
      <c r="L208" s="983"/>
      <c r="M208" s="1028"/>
      <c r="N208" s="3602"/>
    </row>
    <row r="209" spans="1:14" ht="13.5" hidden="1" customHeight="1">
      <c r="A209" s="3601"/>
      <c r="B209" s="985" t="s">
        <v>11</v>
      </c>
      <c r="C209" s="3598" t="s">
        <v>178</v>
      </c>
      <c r="D209" s="987"/>
      <c r="E209" s="987"/>
      <c r="F209" s="987"/>
      <c r="G209" s="987"/>
      <c r="H209" s="987"/>
      <c r="I209" s="987"/>
      <c r="J209" s="987"/>
      <c r="K209" s="987"/>
      <c r="L209" s="987"/>
      <c r="M209" s="1031"/>
      <c r="N209" s="3602"/>
    </row>
    <row r="210" spans="1:14" ht="13.5" hidden="1" customHeight="1">
      <c r="A210" s="3601"/>
      <c r="B210" s="989" t="s">
        <v>16</v>
      </c>
      <c r="C210" s="3600"/>
      <c r="D210" s="990"/>
      <c r="E210" s="991"/>
      <c r="F210" s="991"/>
      <c r="G210" s="991"/>
      <c r="H210" s="991"/>
      <c r="I210" s="991"/>
      <c r="J210" s="991"/>
      <c r="K210" s="991"/>
      <c r="L210" s="991"/>
      <c r="M210" s="993"/>
      <c r="N210" s="3602"/>
    </row>
    <row r="211" spans="1:14" ht="13.5" hidden="1" customHeight="1">
      <c r="A211" s="3601"/>
      <c r="B211" s="826" t="s">
        <v>22</v>
      </c>
      <c r="C211" s="1047"/>
      <c r="D211" s="1027"/>
      <c r="E211" s="1027"/>
      <c r="F211" s="982"/>
      <c r="G211" s="982"/>
      <c r="H211" s="982"/>
      <c r="I211" s="982"/>
      <c r="J211" s="982"/>
      <c r="K211" s="982"/>
      <c r="L211" s="983"/>
      <c r="M211" s="2747"/>
      <c r="N211" s="3602"/>
    </row>
    <row r="212" spans="1:14" ht="15.75" hidden="1" customHeight="1">
      <c r="A212" s="3601"/>
      <c r="B212" s="985" t="s">
        <v>11</v>
      </c>
      <c r="C212" s="3598" t="s">
        <v>178</v>
      </c>
      <c r="D212" s="987">
        <f>+D213</f>
        <v>0</v>
      </c>
      <c r="E212" s="987">
        <f t="shared" ref="E212" si="80">+E213</f>
        <v>0</v>
      </c>
      <c r="F212" s="987"/>
      <c r="G212" s="987"/>
      <c r="H212" s="987"/>
      <c r="I212" s="987"/>
      <c r="J212" s="987"/>
      <c r="K212" s="987"/>
      <c r="L212" s="987"/>
      <c r="M212" s="2747"/>
      <c r="N212" s="3602"/>
    </row>
    <row r="213" spans="1:14" ht="10.5" hidden="1" customHeight="1">
      <c r="A213" s="3601"/>
      <c r="B213" s="989" t="s">
        <v>16</v>
      </c>
      <c r="C213" s="3603"/>
      <c r="D213" s="990"/>
      <c r="E213" s="991"/>
      <c r="F213" s="992"/>
      <c r="G213" s="992"/>
      <c r="H213" s="992"/>
      <c r="I213" s="992"/>
      <c r="J213" s="992"/>
      <c r="K213" s="992"/>
      <c r="L213" s="992"/>
      <c r="M213" s="2747"/>
      <c r="N213" s="3602"/>
    </row>
    <row r="216" spans="1:14" ht="12.75" hidden="1">
      <c r="B216" s="2005" t="s">
        <v>493</v>
      </c>
      <c r="C216" s="1996"/>
      <c r="D216" s="1996"/>
      <c r="E216" s="1996"/>
      <c r="F216" s="1996"/>
      <c r="G216" s="1996"/>
      <c r="H216" s="1996"/>
      <c r="I216" s="1996"/>
      <c r="J216" s="1996"/>
      <c r="K216" s="1996"/>
      <c r="L216" s="1996"/>
    </row>
    <row r="217" spans="1:14" ht="15.75" hidden="1" customHeight="1">
      <c r="B217" s="1925" t="s">
        <v>494</v>
      </c>
      <c r="C217" s="1996"/>
      <c r="D217" s="2002">
        <f>D143</f>
        <v>25156056</v>
      </c>
      <c r="E217" s="2002">
        <f t="shared" ref="E217:L217" si="81">E143</f>
        <v>5960282</v>
      </c>
      <c r="F217" s="2002">
        <f t="shared" si="81"/>
        <v>3900000</v>
      </c>
      <c r="G217" s="2002">
        <f t="shared" si="81"/>
        <v>3274335</v>
      </c>
      <c r="H217" s="2002">
        <f t="shared" si="81"/>
        <v>2500000</v>
      </c>
      <c r="I217" s="2002">
        <f t="shared" si="81"/>
        <v>2720411</v>
      </c>
      <c r="J217" s="2002">
        <f t="shared" si="81"/>
        <v>2720411</v>
      </c>
      <c r="K217" s="2002">
        <f t="shared" si="81"/>
        <v>2720411</v>
      </c>
      <c r="L217" s="2002">
        <f t="shared" si="81"/>
        <v>1360206</v>
      </c>
    </row>
    <row r="218" spans="1:14" ht="15" hidden="1" customHeight="1">
      <c r="B218" s="1925" t="s">
        <v>495</v>
      </c>
      <c r="C218" s="1996"/>
      <c r="D218" s="2002">
        <f>D84</f>
        <v>19723223</v>
      </c>
      <c r="E218" s="2002">
        <f t="shared" ref="E218:L218" si="82">E84</f>
        <v>11297151</v>
      </c>
      <c r="F218" s="2002">
        <f t="shared" si="82"/>
        <v>3442541</v>
      </c>
      <c r="G218" s="2002">
        <f t="shared" si="82"/>
        <v>0</v>
      </c>
      <c r="H218" s="2002">
        <f t="shared" si="82"/>
        <v>4983531</v>
      </c>
      <c r="I218" s="2002">
        <f t="shared" si="82"/>
        <v>0</v>
      </c>
      <c r="J218" s="2002">
        <f t="shared" si="82"/>
        <v>0</v>
      </c>
      <c r="K218" s="2002">
        <f t="shared" si="82"/>
        <v>0</v>
      </c>
      <c r="L218" s="2002">
        <f t="shared" si="82"/>
        <v>0</v>
      </c>
    </row>
    <row r="219" spans="1:14" ht="12.75" hidden="1">
      <c r="B219" s="1925" t="s">
        <v>496</v>
      </c>
      <c r="C219" s="1996"/>
      <c r="D219" s="2003">
        <f>D217+D218</f>
        <v>44879279</v>
      </c>
      <c r="E219" s="2003">
        <f>E217+E218</f>
        <v>17257433</v>
      </c>
      <c r="F219" s="2003">
        <f t="shared" ref="F219:L219" si="83">F217+F218</f>
        <v>7342541</v>
      </c>
      <c r="G219" s="2003">
        <f t="shared" si="83"/>
        <v>3274335</v>
      </c>
      <c r="H219" s="2003">
        <f t="shared" si="83"/>
        <v>7483531</v>
      </c>
      <c r="I219" s="2003">
        <f t="shared" si="83"/>
        <v>2720411</v>
      </c>
      <c r="J219" s="2003">
        <f t="shared" si="83"/>
        <v>2720411</v>
      </c>
      <c r="K219" s="2003">
        <f t="shared" si="83"/>
        <v>2720411</v>
      </c>
      <c r="L219" s="2003">
        <f t="shared" si="83"/>
        <v>1360206</v>
      </c>
    </row>
    <row r="220" spans="1:14" ht="12.75" hidden="1">
      <c r="B220" s="1999" t="s">
        <v>42</v>
      </c>
      <c r="C220" s="2001"/>
      <c r="D220" s="2004">
        <f>D219-D22</f>
        <v>0</v>
      </c>
      <c r="E220" s="2004">
        <f t="shared" ref="E220:L220" si="84">E219-E22</f>
        <v>0</v>
      </c>
      <c r="F220" s="2004">
        <f t="shared" si="84"/>
        <v>0</v>
      </c>
      <c r="G220" s="2004">
        <f t="shared" si="84"/>
        <v>0</v>
      </c>
      <c r="H220" s="2004">
        <f t="shared" si="84"/>
        <v>0</v>
      </c>
      <c r="I220" s="2004">
        <f t="shared" si="84"/>
        <v>0</v>
      </c>
      <c r="J220" s="2004">
        <f t="shared" si="84"/>
        <v>0</v>
      </c>
      <c r="K220" s="2004">
        <f t="shared" si="84"/>
        <v>0</v>
      </c>
      <c r="L220" s="2004">
        <f t="shared" si="84"/>
        <v>0</v>
      </c>
    </row>
    <row r="221" spans="1:14" hidden="1"/>
  </sheetData>
  <mergeCells count="76">
    <mergeCell ref="F5:L5"/>
    <mergeCell ref="N33:N51"/>
    <mergeCell ref="F1:G1"/>
    <mergeCell ref="A4:N4"/>
    <mergeCell ref="B5:B6"/>
    <mergeCell ref="C5:C6"/>
    <mergeCell ref="D5:D6"/>
    <mergeCell ref="N5:N6"/>
    <mergeCell ref="M5:M6"/>
    <mergeCell ref="A33:A51"/>
    <mergeCell ref="C35:C42"/>
    <mergeCell ref="C44:C51"/>
    <mergeCell ref="M22:M32"/>
    <mergeCell ref="M43:M50"/>
    <mergeCell ref="A52:A65"/>
    <mergeCell ref="C54:C58"/>
    <mergeCell ref="C61:C65"/>
    <mergeCell ref="M60:M65"/>
    <mergeCell ref="N52:N66"/>
    <mergeCell ref="A67:A77"/>
    <mergeCell ref="N67:N77"/>
    <mergeCell ref="C69:C72"/>
    <mergeCell ref="C74:C77"/>
    <mergeCell ref="M73:M77"/>
    <mergeCell ref="A78:A88"/>
    <mergeCell ref="N78:N88"/>
    <mergeCell ref="C80:C83"/>
    <mergeCell ref="C85:C88"/>
    <mergeCell ref="M84:M88"/>
    <mergeCell ref="A89:A101"/>
    <mergeCell ref="N89:N101"/>
    <mergeCell ref="C91:C95"/>
    <mergeCell ref="C97:C101"/>
    <mergeCell ref="M96:M101"/>
    <mergeCell ref="A102:A116"/>
    <mergeCell ref="N102:N116"/>
    <mergeCell ref="C104:C109"/>
    <mergeCell ref="C111:C116"/>
    <mergeCell ref="M110:M116"/>
    <mergeCell ref="A117:A128"/>
    <mergeCell ref="N117:N128"/>
    <mergeCell ref="C119:C123"/>
    <mergeCell ref="C125:C128"/>
    <mergeCell ref="M124:M128"/>
    <mergeCell ref="A129:A135"/>
    <mergeCell ref="N129:N135"/>
    <mergeCell ref="C131:C132"/>
    <mergeCell ref="C134:C135"/>
    <mergeCell ref="M133:M135"/>
    <mergeCell ref="A136:A148"/>
    <mergeCell ref="N136:N148"/>
    <mergeCell ref="C138:C142"/>
    <mergeCell ref="C144:C148"/>
    <mergeCell ref="M143:M148"/>
    <mergeCell ref="A163:A176"/>
    <mergeCell ref="N163:N176"/>
    <mergeCell ref="C165:C169"/>
    <mergeCell ref="C171:C176"/>
    <mergeCell ref="A150:A162"/>
    <mergeCell ref="N150:N162"/>
    <mergeCell ref="C152:C156"/>
    <mergeCell ref="C158:C162"/>
    <mergeCell ref="M157:M162"/>
    <mergeCell ref="A207:A213"/>
    <mergeCell ref="N207:N213"/>
    <mergeCell ref="C209:C210"/>
    <mergeCell ref="C212:C213"/>
    <mergeCell ref="A203:A206"/>
    <mergeCell ref="N203:N206"/>
    <mergeCell ref="C205:C206"/>
    <mergeCell ref="M188:M193"/>
    <mergeCell ref="A194:A201"/>
    <mergeCell ref="C200:C201"/>
    <mergeCell ref="M199:M201"/>
    <mergeCell ref="N194:N201"/>
    <mergeCell ref="C196:C198"/>
  </mergeCells>
  <printOptions horizontalCentered="1"/>
  <pageMargins left="0.23622047244094491" right="0.23622047244094491" top="0.51181102362204722" bottom="0.35433070866141736" header="0.15748031496062992" footer="0.15748031496062992"/>
  <pageSetup paperSize="9" scale="69" firstPageNumber="41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176" max="1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663"/>
  <sheetViews>
    <sheetView showGridLines="0" view="pageBreakPreview" zoomScaleNormal="100" zoomScaleSheetLayoutView="100" workbookViewId="0">
      <pane ySplit="6" topLeftCell="A7" activePane="bottomLeft" state="frozen"/>
      <selection activeCell="J81" sqref="J81"/>
      <selection pane="bottomLeft" activeCell="A252" sqref="A252"/>
    </sheetView>
  </sheetViews>
  <sheetFormatPr defaultColWidth="9.140625" defaultRowHeight="11.25"/>
  <cols>
    <col min="1" max="1" width="3.28515625" style="1108" customWidth="1"/>
    <col min="2" max="2" width="56.28515625" style="227" customWidth="1"/>
    <col min="3" max="3" width="12" style="227" customWidth="1"/>
    <col min="4" max="5" width="13.7109375" style="227" customWidth="1"/>
    <col min="6" max="6" width="13.140625" style="865" customWidth="1"/>
    <col min="7" max="7" width="12.42578125" style="865" customWidth="1"/>
    <col min="8" max="8" width="11.28515625" style="865" customWidth="1"/>
    <col min="9" max="12" width="8.42578125" style="865" customWidth="1"/>
    <col min="13" max="13" width="12.5703125" style="865" customWidth="1"/>
    <col min="14" max="14" width="15.140625" style="1148" customWidth="1"/>
    <col min="15" max="15" width="11.85546875" style="227" customWidth="1"/>
    <col min="16" max="16384" width="9.140625" style="227"/>
  </cols>
  <sheetData>
    <row r="1" spans="1:16" ht="22.5" customHeight="1">
      <c r="G1" s="287" t="s">
        <v>187</v>
      </c>
      <c r="H1" s="227"/>
      <c r="I1" s="6"/>
      <c r="J1" s="6"/>
      <c r="K1" s="6"/>
      <c r="L1" s="6"/>
      <c r="M1" s="6"/>
      <c r="N1" s="7"/>
    </row>
    <row r="2" spans="1:16" ht="9.75" customHeight="1">
      <c r="F2" s="227"/>
      <c r="G2" s="227"/>
      <c r="H2" s="227"/>
      <c r="I2" s="6"/>
      <c r="J2" s="6"/>
      <c r="K2" s="6"/>
      <c r="L2" s="6"/>
      <c r="M2" s="6"/>
      <c r="N2" s="7"/>
    </row>
    <row r="3" spans="1:16" ht="48.75" customHeight="1" thickBot="1">
      <c r="A3" s="3454" t="s">
        <v>188</v>
      </c>
      <c r="B3" s="3454"/>
      <c r="C3" s="3454"/>
      <c r="D3" s="3454"/>
      <c r="E3" s="3454"/>
      <c r="F3" s="3454"/>
      <c r="G3" s="3454"/>
      <c r="H3" s="3454"/>
      <c r="I3" s="3454"/>
      <c r="J3" s="3454"/>
      <c r="K3" s="3454"/>
      <c r="L3" s="3454"/>
      <c r="M3" s="3454"/>
      <c r="N3" s="3454"/>
    </row>
    <row r="4" spans="1:16" ht="60.75" customHeight="1">
      <c r="A4" s="1109"/>
      <c r="B4" s="3677" t="s">
        <v>75</v>
      </c>
      <c r="C4" s="3216" t="s">
        <v>71</v>
      </c>
      <c r="D4" s="3420" t="s">
        <v>120</v>
      </c>
      <c r="E4" s="2806" t="s">
        <v>296</v>
      </c>
      <c r="F4" s="3510" t="s">
        <v>415</v>
      </c>
      <c r="G4" s="3230"/>
      <c r="H4" s="3230"/>
      <c r="I4" s="3230"/>
      <c r="J4" s="3230"/>
      <c r="K4" s="3230"/>
      <c r="L4" s="3231"/>
      <c r="M4" s="3225" t="s">
        <v>410</v>
      </c>
      <c r="N4" s="3410" t="s">
        <v>73</v>
      </c>
    </row>
    <row r="5" spans="1:16" ht="16.5" customHeight="1" thickBot="1">
      <c r="A5" s="1110"/>
      <c r="B5" s="3678"/>
      <c r="C5" s="3679"/>
      <c r="D5" s="3467"/>
      <c r="E5" s="3016" t="s">
        <v>555</v>
      </c>
      <c r="F5" s="3020" t="s">
        <v>5</v>
      </c>
      <c r="G5" s="3020" t="s">
        <v>6</v>
      </c>
      <c r="H5" s="279" t="s">
        <v>229</v>
      </c>
      <c r="I5" s="279" t="s">
        <v>231</v>
      </c>
      <c r="J5" s="279" t="s">
        <v>286</v>
      </c>
      <c r="K5" s="279" t="s">
        <v>287</v>
      </c>
      <c r="L5" s="279" t="s">
        <v>285</v>
      </c>
      <c r="M5" s="3226"/>
      <c r="N5" s="3412"/>
    </row>
    <row r="6" spans="1:16" ht="15" customHeight="1">
      <c r="A6" s="1465">
        <v>1</v>
      </c>
      <c r="B6" s="1466">
        <v>2</v>
      </c>
      <c r="C6" s="2814" t="s">
        <v>121</v>
      </c>
      <c r="D6" s="1467" t="s">
        <v>122</v>
      </c>
      <c r="E6" s="1467">
        <v>5</v>
      </c>
      <c r="F6" s="1467">
        <v>6</v>
      </c>
      <c r="G6" s="1467">
        <v>7</v>
      </c>
      <c r="H6" s="1467">
        <v>8</v>
      </c>
      <c r="I6" s="1467">
        <v>9</v>
      </c>
      <c r="J6" s="1467">
        <v>10</v>
      </c>
      <c r="K6" s="1467">
        <v>11</v>
      </c>
      <c r="L6" s="1467">
        <v>12</v>
      </c>
      <c r="M6" s="1468">
        <v>13</v>
      </c>
      <c r="N6" s="1469">
        <v>14</v>
      </c>
    </row>
    <row r="7" spans="1:16" s="262" customFormat="1" ht="16.5" customHeight="1">
      <c r="A7" s="751"/>
      <c r="B7" s="1898" t="s">
        <v>76</v>
      </c>
      <c r="C7" s="1899"/>
      <c r="D7" s="251">
        <f>+D8+D9</f>
        <v>105743053</v>
      </c>
      <c r="E7" s="251">
        <f t="shared" ref="E7:I7" si="0">+E8+E9</f>
        <v>450110</v>
      </c>
      <c r="F7" s="251">
        <f>+F8+F9</f>
        <v>10231833</v>
      </c>
      <c r="G7" s="251">
        <f t="shared" si="0"/>
        <v>88844008</v>
      </c>
      <c r="H7" s="251">
        <f t="shared" si="0"/>
        <v>5940099</v>
      </c>
      <c r="I7" s="251">
        <f t="shared" si="0"/>
        <v>277003</v>
      </c>
      <c r="J7" s="251">
        <f>+J8+J9</f>
        <v>0</v>
      </c>
      <c r="K7" s="251">
        <f>+K8+K9</f>
        <v>0</v>
      </c>
      <c r="L7" s="251">
        <f>+L8+L9</f>
        <v>0</v>
      </c>
      <c r="M7" s="168">
        <f>+M8+M9</f>
        <v>105292943</v>
      </c>
      <c r="N7" s="1111"/>
      <c r="O7" s="563"/>
    </row>
    <row r="8" spans="1:16" s="262" customFormat="1" ht="13.5" customHeight="1">
      <c r="A8" s="751"/>
      <c r="B8" s="1900" t="s">
        <v>77</v>
      </c>
      <c r="C8" s="1901"/>
      <c r="D8" s="243">
        <f>+D24+D42+D51+D58+D74+D81+D144+D165+D187+D200+D218+D240</f>
        <v>3078833</v>
      </c>
      <c r="E8" s="243">
        <f t="shared" ref="E8" si="1">+E24+E42+E51+E58+E74+E81+E144+E165+E187</f>
        <v>0</v>
      </c>
      <c r="F8" s="243">
        <f t="shared" ref="F8:L8" si="2">+F24+F42+F51+F58+F74+F81+F144+F165+F187+F200+F218+F240</f>
        <v>248717</v>
      </c>
      <c r="G8" s="243">
        <f t="shared" si="2"/>
        <v>1163204</v>
      </c>
      <c r="H8" s="243">
        <f t="shared" si="2"/>
        <v>1568309</v>
      </c>
      <c r="I8" s="243">
        <f t="shared" si="2"/>
        <v>98603</v>
      </c>
      <c r="J8" s="243">
        <f t="shared" si="2"/>
        <v>0</v>
      </c>
      <c r="K8" s="243">
        <f t="shared" si="2"/>
        <v>0</v>
      </c>
      <c r="L8" s="243">
        <f t="shared" si="2"/>
        <v>0</v>
      </c>
      <c r="M8" s="18">
        <f>SUM(F8:L8)</f>
        <v>3078833</v>
      </c>
      <c r="N8" s="1111"/>
      <c r="O8" s="563"/>
    </row>
    <row r="9" spans="1:16" s="262" customFormat="1" ht="13.5" customHeight="1" thickBot="1">
      <c r="A9" s="751"/>
      <c r="B9" s="1902" t="s">
        <v>9</v>
      </c>
      <c r="C9" s="1903"/>
      <c r="D9" s="1112">
        <f>D33+D67+D90+D135+D99+D108+D153+D126+D178+D209+D117+D231</f>
        <v>102664220</v>
      </c>
      <c r="E9" s="1112">
        <f t="shared" ref="E9" si="3">E33+E67+E90+E135+E99+E108+E153+E126+E178</f>
        <v>450110</v>
      </c>
      <c r="F9" s="1112">
        <f t="shared" ref="F9:L9" si="4">F33+F67+F90+F135+F99+F108+F153+F126+F178+F209+F117+F231</f>
        <v>9983116</v>
      </c>
      <c r="G9" s="1112">
        <f t="shared" si="4"/>
        <v>87680804</v>
      </c>
      <c r="H9" s="1112">
        <f t="shared" si="4"/>
        <v>4371790</v>
      </c>
      <c r="I9" s="1112">
        <f t="shared" si="4"/>
        <v>178400</v>
      </c>
      <c r="J9" s="1112">
        <f t="shared" si="4"/>
        <v>0</v>
      </c>
      <c r="K9" s="1112">
        <f t="shared" si="4"/>
        <v>0</v>
      </c>
      <c r="L9" s="1112">
        <f t="shared" si="4"/>
        <v>0</v>
      </c>
      <c r="M9" s="170">
        <f>SUM(F9:L9)</f>
        <v>102214110</v>
      </c>
      <c r="N9" s="1111"/>
      <c r="O9" s="563"/>
    </row>
    <row r="10" spans="1:16" ht="12">
      <c r="A10" s="751"/>
      <c r="B10" s="223" t="s">
        <v>10</v>
      </c>
      <c r="C10" s="101"/>
      <c r="D10" s="224">
        <f>D11+D14</f>
        <v>105743053</v>
      </c>
      <c r="E10" s="225">
        <f t="shared" ref="E10" si="5">E11+E14</f>
        <v>450110</v>
      </c>
      <c r="F10" s="225">
        <f t="shared" ref="F10:L10" si="6">F11+F14</f>
        <v>10231833</v>
      </c>
      <c r="G10" s="225">
        <f t="shared" si="6"/>
        <v>88844008</v>
      </c>
      <c r="H10" s="225">
        <f t="shared" si="6"/>
        <v>5940099</v>
      </c>
      <c r="I10" s="225">
        <f t="shared" si="6"/>
        <v>277003</v>
      </c>
      <c r="J10" s="225">
        <f t="shared" si="6"/>
        <v>0</v>
      </c>
      <c r="K10" s="225">
        <f>K11+K14</f>
        <v>0</v>
      </c>
      <c r="L10" s="225">
        <f t="shared" si="6"/>
        <v>0</v>
      </c>
      <c r="M10" s="71">
        <f>M11+M14</f>
        <v>105292943</v>
      </c>
      <c r="N10" s="1113"/>
      <c r="O10" s="228"/>
      <c r="P10" s="228"/>
    </row>
    <row r="11" spans="1:16" ht="13.5" customHeight="1">
      <c r="A11" s="751"/>
      <c r="B11" s="1114" t="s">
        <v>24</v>
      </c>
      <c r="C11" s="1904"/>
      <c r="D11" s="1905">
        <f>D12+D13</f>
        <v>16332212</v>
      </c>
      <c r="E11" s="1905">
        <f t="shared" ref="E11" si="7">+E12+E13</f>
        <v>450110</v>
      </c>
      <c r="F11" s="222">
        <f>+F12+F13</f>
        <v>1597680</v>
      </c>
      <c r="G11" s="1905">
        <f t="shared" ref="G11:M11" si="8">+G12+G13</f>
        <v>13351006</v>
      </c>
      <c r="H11" s="222">
        <f t="shared" si="8"/>
        <v>891484</v>
      </c>
      <c r="I11" s="222">
        <f t="shared" si="8"/>
        <v>41932</v>
      </c>
      <c r="J11" s="222">
        <f t="shared" si="8"/>
        <v>0</v>
      </c>
      <c r="K11" s="222">
        <f t="shared" si="8"/>
        <v>0</v>
      </c>
      <c r="L11" s="222">
        <f t="shared" si="8"/>
        <v>0</v>
      </c>
      <c r="M11" s="1906">
        <f t="shared" si="8"/>
        <v>15882102</v>
      </c>
      <c r="N11" s="1115"/>
    </row>
    <row r="12" spans="1:16" ht="13.5" customHeight="1">
      <c r="A12" s="751"/>
      <c r="B12" s="1907" t="s">
        <v>12</v>
      </c>
      <c r="C12" s="1908"/>
      <c r="D12" s="1909">
        <f>D26+D44+D35+D60+D101+D137+D83+D110+D92+D146+D155+D128+D167+D180+D189+D202+D211+D119+D220+D233+D242</f>
        <v>15332212</v>
      </c>
      <c r="E12" s="1909">
        <f t="shared" ref="E12" si="9">E26+E44+E35+E60+E101+E137+E83+E110+E92+E146+E155+E128+E167+E180+E189+E202+E211+E119+E220+E233+E242</f>
        <v>450110</v>
      </c>
      <c r="F12" s="1909">
        <f>F26+F44+F35+F60+F101+F137+F83+F110+F92+F146+F155+F128+F167+F180+F189+F202+F211+F119+F220+F233+F242</f>
        <v>1497680</v>
      </c>
      <c r="G12" s="1909">
        <f t="shared" ref="G12:L12" si="10">G26+G44+G35+G60+G101+G137+G83+G110+G92+G146+G155+G128+G167+G180+G189+G202+G211+G119+G220+G233+G242</f>
        <v>12451006</v>
      </c>
      <c r="H12" s="1909">
        <f t="shared" si="10"/>
        <v>891484</v>
      </c>
      <c r="I12" s="1909">
        <f t="shared" si="10"/>
        <v>41932</v>
      </c>
      <c r="J12" s="1909">
        <f t="shared" si="10"/>
        <v>0</v>
      </c>
      <c r="K12" s="1909">
        <f t="shared" si="10"/>
        <v>0</v>
      </c>
      <c r="L12" s="1909">
        <f t="shared" si="10"/>
        <v>0</v>
      </c>
      <c r="M12" s="1116">
        <f>SUM(F12:L12)</f>
        <v>14882102</v>
      </c>
      <c r="N12" s="1115"/>
      <c r="O12" s="228"/>
    </row>
    <row r="13" spans="1:16" ht="13.5" customHeight="1">
      <c r="A13" s="751"/>
      <c r="B13" s="2182" t="s">
        <v>62</v>
      </c>
      <c r="C13" s="2183"/>
      <c r="D13" s="2184">
        <f>+D156</f>
        <v>1000000</v>
      </c>
      <c r="E13" s="2184">
        <f>+E156</f>
        <v>0</v>
      </c>
      <c r="F13" s="2184">
        <f>+F156</f>
        <v>100000</v>
      </c>
      <c r="G13" s="2184">
        <f>+G156</f>
        <v>900000</v>
      </c>
      <c r="H13" s="2184">
        <f>+H156</f>
        <v>0</v>
      </c>
      <c r="I13" s="2184">
        <f t="shared" ref="I13:L13" si="11">+I156</f>
        <v>0</v>
      </c>
      <c r="J13" s="2184">
        <f t="shared" si="11"/>
        <v>0</v>
      </c>
      <c r="K13" s="2184">
        <f t="shared" si="11"/>
        <v>0</v>
      </c>
      <c r="L13" s="2184">
        <f t="shared" si="11"/>
        <v>0</v>
      </c>
      <c r="M13" s="2185">
        <f>SUM(F13:L13)</f>
        <v>1000000</v>
      </c>
      <c r="N13" s="1115"/>
      <c r="O13" s="228"/>
    </row>
    <row r="14" spans="1:16" ht="13.5" customHeight="1">
      <c r="A14" s="751"/>
      <c r="B14" s="1114" t="s">
        <v>18</v>
      </c>
      <c r="C14" s="1904"/>
      <c r="D14" s="1905">
        <f>+D15+D16</f>
        <v>89410841</v>
      </c>
      <c r="E14" s="1905">
        <f t="shared" ref="E14" si="12">+E15+E16</f>
        <v>0</v>
      </c>
      <c r="F14" s="222">
        <f t="shared" ref="F14:I14" si="13">+F15+F16</f>
        <v>8634153</v>
      </c>
      <c r="G14" s="1905">
        <f t="shared" si="13"/>
        <v>75493002</v>
      </c>
      <c r="H14" s="222">
        <f t="shared" si="13"/>
        <v>5048615</v>
      </c>
      <c r="I14" s="222">
        <f t="shared" si="13"/>
        <v>235071</v>
      </c>
      <c r="J14" s="222">
        <f>+J15+J16</f>
        <v>0</v>
      </c>
      <c r="K14" s="222">
        <f>+K15+K16</f>
        <v>0</v>
      </c>
      <c r="L14" s="222">
        <f>+L15+L16</f>
        <v>0</v>
      </c>
      <c r="M14" s="1906">
        <f>+M15</f>
        <v>89410841</v>
      </c>
      <c r="N14" s="1115"/>
    </row>
    <row r="15" spans="1:16" ht="13.5" customHeight="1">
      <c r="A15" s="751"/>
      <c r="B15" s="1907" t="s">
        <v>21</v>
      </c>
      <c r="C15" s="226"/>
      <c r="D15" s="164">
        <f>D46+D62+D69+D76+D85+D94+D103+D139+D112+D148+D158+D130+D171+D182+D193+D204+D213+D121+D224+D235+D246</f>
        <v>89410841</v>
      </c>
      <c r="E15" s="164">
        <f t="shared" ref="E15" si="14">E46+E62+E69+E76+E85+E94+E103+E139+E112+E148+E158+E130+E171+E182+E193+E204+E213+E121+E224+E235+E246</f>
        <v>0</v>
      </c>
      <c r="F15" s="164">
        <f t="shared" ref="F15:L15" si="15">F46+F62+F69+F76+F85+F94+F103+F139+F112+F148+F158+F130+F171+F182+F193+F204+F213+F121+F224+F235+F246</f>
        <v>8634153</v>
      </c>
      <c r="G15" s="164">
        <f t="shared" si="15"/>
        <v>75493002</v>
      </c>
      <c r="H15" s="164">
        <f t="shared" si="15"/>
        <v>5048615</v>
      </c>
      <c r="I15" s="164">
        <f t="shared" si="15"/>
        <v>235071</v>
      </c>
      <c r="J15" s="164">
        <f t="shared" si="15"/>
        <v>0</v>
      </c>
      <c r="K15" s="164">
        <f t="shared" si="15"/>
        <v>0</v>
      </c>
      <c r="L15" s="164">
        <f t="shared" si="15"/>
        <v>0</v>
      </c>
      <c r="M15" s="1116">
        <f>SUM(F15:L15)</f>
        <v>89410841</v>
      </c>
      <c r="N15" s="1115"/>
      <c r="O15" s="228"/>
    </row>
    <row r="16" spans="1:16" ht="13.5" hidden="1" customHeight="1">
      <c r="A16" s="751"/>
      <c r="B16" s="315" t="s">
        <v>20</v>
      </c>
      <c r="C16" s="3018"/>
      <c r="D16" s="164"/>
      <c r="E16" s="164"/>
      <c r="F16" s="164"/>
      <c r="G16" s="164"/>
      <c r="H16" s="164"/>
      <c r="I16" s="164"/>
      <c r="J16" s="164"/>
      <c r="K16" s="164"/>
      <c r="L16" s="164"/>
      <c r="M16" s="311"/>
      <c r="N16" s="1115"/>
    </row>
    <row r="17" spans="1:17" ht="12">
      <c r="A17" s="751"/>
      <c r="B17" s="223" t="s">
        <v>22</v>
      </c>
      <c r="C17" s="22"/>
      <c r="D17" s="224">
        <f>D20+D18</f>
        <v>90410841</v>
      </c>
      <c r="E17" s="2186">
        <f t="shared" ref="E17" si="16">E20+E18</f>
        <v>0</v>
      </c>
      <c r="F17" s="2186">
        <f t="shared" ref="F17" si="17">F20+F18</f>
        <v>6649746</v>
      </c>
      <c r="G17" s="2186">
        <f t="shared" ref="G17:L17" si="18">G20+G18</f>
        <v>71584582</v>
      </c>
      <c r="H17" s="2186">
        <f t="shared" si="18"/>
        <v>11383117</v>
      </c>
      <c r="I17" s="2186">
        <f t="shared" si="18"/>
        <v>793396</v>
      </c>
      <c r="J17" s="2186">
        <f t="shared" si="18"/>
        <v>0</v>
      </c>
      <c r="K17" s="2186">
        <f t="shared" si="18"/>
        <v>0</v>
      </c>
      <c r="L17" s="2186">
        <f t="shared" si="18"/>
        <v>0</v>
      </c>
      <c r="M17" s="3121" t="s">
        <v>61</v>
      </c>
      <c r="N17" s="1115"/>
      <c r="O17" s="228"/>
    </row>
    <row r="18" spans="1:17" ht="16.5" customHeight="1">
      <c r="A18" s="751"/>
      <c r="B18" s="1114" t="s">
        <v>11</v>
      </c>
      <c r="C18" s="226"/>
      <c r="D18" s="261">
        <f t="shared" ref="D18:L18" si="19">D19</f>
        <v>1000000</v>
      </c>
      <c r="E18" s="261">
        <f t="shared" si="19"/>
        <v>0</v>
      </c>
      <c r="F18" s="261">
        <f t="shared" si="19"/>
        <v>100000</v>
      </c>
      <c r="G18" s="261">
        <f t="shared" si="19"/>
        <v>900000</v>
      </c>
      <c r="H18" s="261">
        <f t="shared" si="19"/>
        <v>0</v>
      </c>
      <c r="I18" s="261">
        <f t="shared" si="19"/>
        <v>0</v>
      </c>
      <c r="J18" s="261">
        <f t="shared" si="19"/>
        <v>0</v>
      </c>
      <c r="K18" s="261">
        <f t="shared" si="19"/>
        <v>0</v>
      </c>
      <c r="L18" s="261">
        <f t="shared" si="19"/>
        <v>0</v>
      </c>
      <c r="M18" s="3122"/>
      <c r="N18" s="1115"/>
      <c r="O18" s="228"/>
    </row>
    <row r="19" spans="1:17" ht="12">
      <c r="A19" s="751"/>
      <c r="B19" s="1907" t="s">
        <v>62</v>
      </c>
      <c r="C19" s="226"/>
      <c r="D19" s="164">
        <f>D161</f>
        <v>1000000</v>
      </c>
      <c r="E19" s="164">
        <f t="shared" ref="E19" si="20">E161</f>
        <v>0</v>
      </c>
      <c r="F19" s="164">
        <f t="shared" ref="F19:L19" si="21">F161</f>
        <v>100000</v>
      </c>
      <c r="G19" s="164">
        <f t="shared" si="21"/>
        <v>900000</v>
      </c>
      <c r="H19" s="164">
        <f t="shared" si="21"/>
        <v>0</v>
      </c>
      <c r="I19" s="164">
        <f t="shared" si="21"/>
        <v>0</v>
      </c>
      <c r="J19" s="164">
        <f t="shared" si="21"/>
        <v>0</v>
      </c>
      <c r="K19" s="164">
        <f t="shared" si="21"/>
        <v>0</v>
      </c>
      <c r="L19" s="164">
        <f t="shared" si="21"/>
        <v>0</v>
      </c>
      <c r="M19" s="3122"/>
      <c r="N19" s="1115"/>
      <c r="O19" s="228"/>
    </row>
    <row r="20" spans="1:17" ht="13.5" customHeight="1">
      <c r="A20" s="751"/>
      <c r="B20" s="1114" t="s">
        <v>18</v>
      </c>
      <c r="C20" s="226"/>
      <c r="D20" s="261">
        <f>+D21+D22</f>
        <v>89410841</v>
      </c>
      <c r="E20" s="261">
        <f t="shared" ref="E20:L20" si="22">E21</f>
        <v>0</v>
      </c>
      <c r="F20" s="261">
        <f t="shared" si="22"/>
        <v>6549746</v>
      </c>
      <c r="G20" s="261">
        <f t="shared" si="22"/>
        <v>70684582</v>
      </c>
      <c r="H20" s="261">
        <f t="shared" si="22"/>
        <v>11383117</v>
      </c>
      <c r="I20" s="261">
        <f t="shared" si="22"/>
        <v>793396</v>
      </c>
      <c r="J20" s="261">
        <f t="shared" si="22"/>
        <v>0</v>
      </c>
      <c r="K20" s="261">
        <f t="shared" si="22"/>
        <v>0</v>
      </c>
      <c r="L20" s="261">
        <f t="shared" si="22"/>
        <v>0</v>
      </c>
      <c r="M20" s="3122"/>
      <c r="N20" s="1115"/>
    </row>
    <row r="21" spans="1:17" ht="13.5" customHeight="1" thickBot="1">
      <c r="A21" s="1117"/>
      <c r="B21" s="1907" t="s">
        <v>21</v>
      </c>
      <c r="C21" s="226"/>
      <c r="D21" s="164">
        <f>D31+D49+D56+D65+D72+D40+D79+D88+D106+D115+D97+D142+D151+D163+D133+D176+D185+D198+D207+D216+D124+D229+D238+D251</f>
        <v>89410841</v>
      </c>
      <c r="E21" s="164">
        <f t="shared" ref="E21" si="23">E31+E49+E56+E65+E72+E40+E79+E88+E106+E115+E97+E142+E151+E163+E133+E176+E185+E198+E207+E216+E124+E229+E238+E251</f>
        <v>0</v>
      </c>
      <c r="F21" s="164">
        <f t="shared" ref="F21:L21" si="24">F31+F49+F56+F65+F72+F40+F79+F88+F106+F115+F97+F142+F151+F163+F133+F176+F185+F198+F207+F216+F124+F229+F238+F251</f>
        <v>6549746</v>
      </c>
      <c r="G21" s="164">
        <f t="shared" si="24"/>
        <v>70684582</v>
      </c>
      <c r="H21" s="164">
        <f t="shared" si="24"/>
        <v>11383117</v>
      </c>
      <c r="I21" s="164">
        <f t="shared" si="24"/>
        <v>793396</v>
      </c>
      <c r="J21" s="164">
        <f t="shared" si="24"/>
        <v>0</v>
      </c>
      <c r="K21" s="164">
        <f t="shared" si="24"/>
        <v>0</v>
      </c>
      <c r="L21" s="164">
        <f t="shared" si="24"/>
        <v>0</v>
      </c>
      <c r="M21" s="3122"/>
      <c r="N21" s="1115"/>
      <c r="O21" s="228">
        <f>D21-D15</f>
        <v>0</v>
      </c>
    </row>
    <row r="22" spans="1:17" ht="13.5" hidden="1" customHeight="1" thickBot="1">
      <c r="A22" s="1117"/>
      <c r="B22" s="1118" t="s">
        <v>20</v>
      </c>
      <c r="C22" s="1118"/>
      <c r="D22" s="1118"/>
      <c r="E22" s="1118"/>
      <c r="F22" s="1118"/>
      <c r="G22" s="1118"/>
      <c r="H22" s="1118"/>
      <c r="I22" s="1118"/>
      <c r="J22" s="1118"/>
      <c r="K22" s="1118"/>
      <c r="L22" s="281"/>
      <c r="M22" s="3123"/>
      <c r="N22" s="1115"/>
    </row>
    <row r="23" spans="1:17" ht="12" hidden="1">
      <c r="A23" s="3434" t="s">
        <v>63</v>
      </c>
      <c r="B23" s="790"/>
      <c r="C23" s="791" t="s">
        <v>111</v>
      </c>
      <c r="D23" s="1119"/>
      <c r="E23" s="1120"/>
      <c r="F23" s="1121"/>
      <c r="G23" s="1121"/>
      <c r="H23" s="1121"/>
      <c r="I23" s="1120"/>
      <c r="J23" s="1120"/>
      <c r="K23" s="1120"/>
      <c r="L23" s="1120"/>
      <c r="M23" s="1122"/>
      <c r="N23" s="3370" t="s">
        <v>249</v>
      </c>
    </row>
    <row r="24" spans="1:17" ht="17.25" hidden="1" customHeight="1">
      <c r="A24" s="3435"/>
      <c r="B24" s="31" t="s">
        <v>10</v>
      </c>
      <c r="C24" s="22"/>
      <c r="D24" s="224"/>
      <c r="E24" s="225">
        <f t="shared" ref="E24" si="25">+E25+E27</f>
        <v>0</v>
      </c>
      <c r="F24" s="225">
        <f t="shared" ref="F24:I24" si="26">+F25+F27</f>
        <v>0</v>
      </c>
      <c r="G24" s="225">
        <f t="shared" si="26"/>
        <v>0</v>
      </c>
      <c r="H24" s="225">
        <f t="shared" si="26"/>
        <v>0</v>
      </c>
      <c r="I24" s="225">
        <f t="shared" si="26"/>
        <v>0</v>
      </c>
      <c r="J24" s="225">
        <f>J25+J27</f>
        <v>0</v>
      </c>
      <c r="K24" s="225">
        <f>K25+K27</f>
        <v>0</v>
      </c>
      <c r="L24" s="225">
        <f>L25+L27</f>
        <v>0</v>
      </c>
      <c r="M24" s="71">
        <f>+M25+M27</f>
        <v>0</v>
      </c>
      <c r="N24" s="3371"/>
      <c r="O24" s="228"/>
      <c r="P24" s="228"/>
    </row>
    <row r="25" spans="1:17" ht="14.25" hidden="1" customHeight="1">
      <c r="A25" s="3435"/>
      <c r="B25" s="797" t="s">
        <v>24</v>
      </c>
      <c r="C25" s="3091" t="s">
        <v>189</v>
      </c>
      <c r="D25" s="1123"/>
      <c r="E25" s="792">
        <f>+E26</f>
        <v>0</v>
      </c>
      <c r="F25" s="1123">
        <f t="shared" ref="F25:L25" si="27">+F26</f>
        <v>0</v>
      </c>
      <c r="G25" s="1123">
        <f t="shared" si="27"/>
        <v>0</v>
      </c>
      <c r="H25" s="1123">
        <f t="shared" si="27"/>
        <v>0</v>
      </c>
      <c r="I25" s="1123">
        <f t="shared" si="27"/>
        <v>0</v>
      </c>
      <c r="J25" s="1123">
        <f t="shared" si="27"/>
        <v>0</v>
      </c>
      <c r="K25" s="1123">
        <f t="shared" si="27"/>
        <v>0</v>
      </c>
      <c r="L25" s="1123">
        <f t="shared" si="27"/>
        <v>0</v>
      </c>
      <c r="M25" s="1124">
        <f>+M26</f>
        <v>0</v>
      </c>
      <c r="N25" s="3667"/>
      <c r="P25" s="228"/>
      <c r="Q25" s="228"/>
    </row>
    <row r="26" spans="1:17" ht="13.5" hidden="1" customHeight="1">
      <c r="A26" s="3435"/>
      <c r="B26" s="1125" t="s">
        <v>12</v>
      </c>
      <c r="C26" s="3147"/>
      <c r="D26" s="58"/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311"/>
      <c r="N26" s="3667"/>
    </row>
    <row r="27" spans="1:17" ht="14.25" hidden="1" customHeight="1">
      <c r="A27" s="3435"/>
      <c r="B27" s="1126" t="s">
        <v>18</v>
      </c>
      <c r="C27" s="3147"/>
      <c r="D27" s="53"/>
      <c r="E27" s="793">
        <f t="shared" ref="E27:M27" si="28">+E28</f>
        <v>0</v>
      </c>
      <c r="F27" s="114">
        <f t="shared" ref="F27:L27" si="29">+F28</f>
        <v>0</v>
      </c>
      <c r="G27" s="114">
        <f t="shared" si="29"/>
        <v>0</v>
      </c>
      <c r="H27" s="114">
        <f t="shared" si="29"/>
        <v>0</v>
      </c>
      <c r="I27" s="114">
        <f t="shared" si="29"/>
        <v>0</v>
      </c>
      <c r="J27" s="114">
        <f t="shared" si="29"/>
        <v>0</v>
      </c>
      <c r="K27" s="114">
        <f t="shared" si="29"/>
        <v>0</v>
      </c>
      <c r="L27" s="114">
        <f t="shared" si="29"/>
        <v>0</v>
      </c>
      <c r="M27" s="88">
        <f t="shared" si="28"/>
        <v>0</v>
      </c>
      <c r="N27" s="3667"/>
    </row>
    <row r="28" spans="1:17" ht="12" hidden="1" customHeight="1">
      <c r="A28" s="3435"/>
      <c r="B28" s="1127" t="s">
        <v>21</v>
      </c>
      <c r="C28" s="3684"/>
      <c r="D28" s="58"/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311"/>
      <c r="N28" s="3667"/>
    </row>
    <row r="29" spans="1:17" ht="14.25" hidden="1" customHeight="1">
      <c r="A29" s="3435"/>
      <c r="B29" s="21" t="s">
        <v>22</v>
      </c>
      <c r="C29" s="794"/>
      <c r="D29" s="224"/>
      <c r="E29" s="225">
        <f t="shared" ref="E29:J30" si="30">+E30</f>
        <v>0</v>
      </c>
      <c r="F29" s="225">
        <f t="shared" si="30"/>
        <v>0</v>
      </c>
      <c r="G29" s="225">
        <f t="shared" si="30"/>
        <v>0</v>
      </c>
      <c r="H29" s="225">
        <f t="shared" si="30"/>
        <v>0</v>
      </c>
      <c r="I29" s="225">
        <f t="shared" si="30"/>
        <v>0</v>
      </c>
      <c r="J29" s="225">
        <f t="shared" si="30"/>
        <v>0</v>
      </c>
      <c r="K29" s="225">
        <f>+K30</f>
        <v>0</v>
      </c>
      <c r="L29" s="225">
        <f>+L30</f>
        <v>0</v>
      </c>
      <c r="M29" s="3121" t="s">
        <v>61</v>
      </c>
      <c r="N29" s="3667"/>
    </row>
    <row r="30" spans="1:17" ht="14.25" hidden="1" customHeight="1">
      <c r="A30" s="3435"/>
      <c r="B30" s="577" t="s">
        <v>18</v>
      </c>
      <c r="C30" s="3685" t="s">
        <v>190</v>
      </c>
      <c r="D30" s="53"/>
      <c r="E30" s="54">
        <f t="shared" si="30"/>
        <v>0</v>
      </c>
      <c r="F30" s="54">
        <f t="shared" si="30"/>
        <v>0</v>
      </c>
      <c r="G30" s="54">
        <f t="shared" si="30"/>
        <v>0</v>
      </c>
      <c r="H30" s="54">
        <f t="shared" si="30"/>
        <v>0</v>
      </c>
      <c r="I30" s="54">
        <f t="shared" si="30"/>
        <v>0</v>
      </c>
      <c r="J30" s="54">
        <f t="shared" si="30"/>
        <v>0</v>
      </c>
      <c r="K30" s="54">
        <f>+K31</f>
        <v>0</v>
      </c>
      <c r="L30" s="54">
        <f>+L31</f>
        <v>0</v>
      </c>
      <c r="M30" s="3122"/>
      <c r="N30" s="3667"/>
    </row>
    <row r="31" spans="1:17" ht="15.75" hidden="1" customHeight="1" thickBot="1">
      <c r="A31" s="3436"/>
      <c r="B31" s="2999" t="s">
        <v>21</v>
      </c>
      <c r="C31" s="3686"/>
      <c r="D31" s="58"/>
      <c r="E31" s="51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3122"/>
      <c r="N31" s="3670"/>
      <c r="P31" s="228"/>
    </row>
    <row r="32" spans="1:17" ht="12" hidden="1">
      <c r="A32" s="3680" t="s">
        <v>64</v>
      </c>
      <c r="B32" s="204"/>
      <c r="C32" s="3007" t="s">
        <v>81</v>
      </c>
      <c r="D32" s="1119"/>
      <c r="E32" s="1120"/>
      <c r="F32" s="1121"/>
      <c r="G32" s="1121"/>
      <c r="H32" s="1121"/>
      <c r="I32" s="1120"/>
      <c r="J32" s="1120"/>
      <c r="K32" s="1120"/>
      <c r="L32" s="1120"/>
      <c r="M32" s="1122"/>
      <c r="N32" s="3370" t="s">
        <v>249</v>
      </c>
    </row>
    <row r="33" spans="1:14" ht="15.75" hidden="1" customHeight="1">
      <c r="A33" s="3681"/>
      <c r="B33" s="31" t="s">
        <v>10</v>
      </c>
      <c r="C33" s="22"/>
      <c r="D33" s="224"/>
      <c r="E33" s="225">
        <f t="shared" ref="E33" si="31">+E34+E36</f>
        <v>0</v>
      </c>
      <c r="F33" s="225">
        <f t="shared" ref="F33:L33" si="32">+F34+F36</f>
        <v>0</v>
      </c>
      <c r="G33" s="225">
        <f t="shared" si="32"/>
        <v>0</v>
      </c>
      <c r="H33" s="225">
        <f t="shared" si="32"/>
        <v>0</v>
      </c>
      <c r="I33" s="225">
        <f t="shared" si="32"/>
        <v>0</v>
      </c>
      <c r="J33" s="225">
        <f t="shared" si="32"/>
        <v>0</v>
      </c>
      <c r="K33" s="225">
        <f t="shared" si="32"/>
        <v>0</v>
      </c>
      <c r="L33" s="225">
        <f t="shared" si="32"/>
        <v>0</v>
      </c>
      <c r="M33" s="71">
        <f>+M34+M36</f>
        <v>0</v>
      </c>
      <c r="N33" s="3371"/>
    </row>
    <row r="34" spans="1:14" ht="15.75" hidden="1" customHeight="1">
      <c r="A34" s="3681"/>
      <c r="B34" s="797" t="s">
        <v>24</v>
      </c>
      <c r="C34" s="3091" t="s">
        <v>189</v>
      </c>
      <c r="D34" s="1123"/>
      <c r="E34" s="792">
        <f>+E35</f>
        <v>0</v>
      </c>
      <c r="F34" s="1123">
        <f t="shared" ref="F34:L34" si="33">+F35</f>
        <v>0</v>
      </c>
      <c r="G34" s="1123">
        <f t="shared" si="33"/>
        <v>0</v>
      </c>
      <c r="H34" s="1123">
        <f t="shared" si="33"/>
        <v>0</v>
      </c>
      <c r="I34" s="1123">
        <f t="shared" si="33"/>
        <v>0</v>
      </c>
      <c r="J34" s="1123">
        <f t="shared" si="33"/>
        <v>0</v>
      </c>
      <c r="K34" s="1123">
        <f t="shared" si="33"/>
        <v>0</v>
      </c>
      <c r="L34" s="1123">
        <f t="shared" si="33"/>
        <v>0</v>
      </c>
      <c r="M34" s="1124">
        <f>+M35</f>
        <v>0</v>
      </c>
      <c r="N34" s="3667"/>
    </row>
    <row r="35" spans="1:14" ht="15.75" hidden="1" customHeight="1">
      <c r="A35" s="3681"/>
      <c r="B35" s="1125" t="s">
        <v>12</v>
      </c>
      <c r="C35" s="3147"/>
      <c r="D35" s="58"/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311"/>
      <c r="N35" s="3667"/>
    </row>
    <row r="36" spans="1:14" ht="12" hidden="1">
      <c r="A36" s="3681"/>
      <c r="B36" s="1125" t="s">
        <v>18</v>
      </c>
      <c r="C36" s="3147"/>
      <c r="D36" s="53"/>
      <c r="E36" s="793">
        <f t="shared" ref="E36:M36" si="34">+E37</f>
        <v>0</v>
      </c>
      <c r="F36" s="114">
        <f t="shared" si="34"/>
        <v>0</v>
      </c>
      <c r="G36" s="114">
        <f t="shared" si="34"/>
        <v>0</v>
      </c>
      <c r="H36" s="114">
        <f t="shared" si="34"/>
        <v>0</v>
      </c>
      <c r="I36" s="114">
        <f t="shared" si="34"/>
        <v>0</v>
      </c>
      <c r="J36" s="114">
        <f t="shared" si="34"/>
        <v>0</v>
      </c>
      <c r="K36" s="114">
        <f t="shared" si="34"/>
        <v>0</v>
      </c>
      <c r="L36" s="114">
        <f t="shared" si="34"/>
        <v>0</v>
      </c>
      <c r="M36" s="88">
        <f t="shared" si="34"/>
        <v>0</v>
      </c>
      <c r="N36" s="3667"/>
    </row>
    <row r="37" spans="1:14" ht="12.75" hidden="1" customHeight="1">
      <c r="A37" s="3681"/>
      <c r="B37" s="1125" t="s">
        <v>21</v>
      </c>
      <c r="C37" s="3147"/>
      <c r="D37" s="58"/>
      <c r="E37" s="51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311"/>
      <c r="N37" s="3667"/>
    </row>
    <row r="38" spans="1:14" ht="13.5" hidden="1" customHeight="1">
      <c r="A38" s="3681"/>
      <c r="B38" s="31" t="s">
        <v>22</v>
      </c>
      <c r="C38" s="22"/>
      <c r="D38" s="224"/>
      <c r="E38" s="224">
        <f t="shared" ref="E38:J39" si="35">+E39</f>
        <v>0</v>
      </c>
      <c r="F38" s="225">
        <f t="shared" si="35"/>
        <v>0</v>
      </c>
      <c r="G38" s="225">
        <f t="shared" si="35"/>
        <v>0</v>
      </c>
      <c r="H38" s="225">
        <f t="shared" si="35"/>
        <v>0</v>
      </c>
      <c r="I38" s="225">
        <f t="shared" si="35"/>
        <v>0</v>
      </c>
      <c r="J38" s="225">
        <f t="shared" si="35"/>
        <v>0</v>
      </c>
      <c r="K38" s="225">
        <f>+K39</f>
        <v>0</v>
      </c>
      <c r="L38" s="225">
        <f>+L39</f>
        <v>0</v>
      </c>
      <c r="M38" s="3121" t="s">
        <v>61</v>
      </c>
      <c r="N38" s="3667"/>
    </row>
    <row r="39" spans="1:14" ht="13.5" hidden="1" customHeight="1">
      <c r="A39" s="3681"/>
      <c r="B39" s="625" t="s">
        <v>18</v>
      </c>
      <c r="C39" s="3149" t="s">
        <v>190</v>
      </c>
      <c r="D39" s="53"/>
      <c r="E39" s="54">
        <f t="shared" si="35"/>
        <v>0</v>
      </c>
      <c r="F39" s="54">
        <f t="shared" si="35"/>
        <v>0</v>
      </c>
      <c r="G39" s="54">
        <f t="shared" si="35"/>
        <v>0</v>
      </c>
      <c r="H39" s="54">
        <f t="shared" si="35"/>
        <v>0</v>
      </c>
      <c r="I39" s="54">
        <f t="shared" si="35"/>
        <v>0</v>
      </c>
      <c r="J39" s="54">
        <f t="shared" si="35"/>
        <v>0</v>
      </c>
      <c r="K39" s="54">
        <f>+K40</f>
        <v>0</v>
      </c>
      <c r="L39" s="54">
        <f>+L40</f>
        <v>0</v>
      </c>
      <c r="M39" s="3122"/>
      <c r="N39" s="3667"/>
    </row>
    <row r="40" spans="1:14" ht="13.5" hidden="1" customHeight="1" thickBot="1">
      <c r="A40" s="3682"/>
      <c r="B40" s="259" t="s">
        <v>21</v>
      </c>
      <c r="C40" s="3683"/>
      <c r="D40" s="99"/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3123"/>
      <c r="N40" s="3668"/>
    </row>
    <row r="41" spans="1:14" s="262" customFormat="1" ht="12.75" hidden="1">
      <c r="A41" s="3434" t="s">
        <v>63</v>
      </c>
      <c r="B41" s="796"/>
      <c r="C41" s="3007" t="s">
        <v>111</v>
      </c>
      <c r="D41" s="1120"/>
      <c r="E41" s="1120"/>
      <c r="F41" s="1121"/>
      <c r="G41" s="1121"/>
      <c r="H41" s="1121"/>
      <c r="I41" s="1120"/>
      <c r="J41" s="1120"/>
      <c r="K41" s="1120"/>
      <c r="L41" s="1120"/>
      <c r="M41" s="1122"/>
      <c r="N41" s="3370" t="s">
        <v>249</v>
      </c>
    </row>
    <row r="42" spans="1:14" s="262" customFormat="1" ht="16.5" hidden="1" customHeight="1">
      <c r="A42" s="3441"/>
      <c r="B42" s="31" t="s">
        <v>10</v>
      </c>
      <c r="C42" s="22"/>
      <c r="D42" s="225"/>
      <c r="E42" s="225">
        <f t="shared" ref="E42" si="36">+E43+E45</f>
        <v>0</v>
      </c>
      <c r="F42" s="225">
        <f>F43+F45</f>
        <v>0</v>
      </c>
      <c r="G42" s="225">
        <f t="shared" ref="G42:L42" si="37">G43+G45</f>
        <v>0</v>
      </c>
      <c r="H42" s="225">
        <f t="shared" si="37"/>
        <v>0</v>
      </c>
      <c r="I42" s="225">
        <f t="shared" si="37"/>
        <v>0</v>
      </c>
      <c r="J42" s="225">
        <f t="shared" si="37"/>
        <v>0</v>
      </c>
      <c r="K42" s="225">
        <f t="shared" si="37"/>
        <v>0</v>
      </c>
      <c r="L42" s="225">
        <f t="shared" si="37"/>
        <v>0</v>
      </c>
      <c r="M42" s="71">
        <f>+M43+M45</f>
        <v>0</v>
      </c>
      <c r="N42" s="3371"/>
    </row>
    <row r="43" spans="1:14" s="262" customFormat="1" ht="14.25" hidden="1" customHeight="1">
      <c r="A43" s="3441"/>
      <c r="B43" s="625" t="s">
        <v>24</v>
      </c>
      <c r="C43" s="3672" t="s">
        <v>189</v>
      </c>
      <c r="D43" s="1128"/>
      <c r="E43" s="792">
        <f>+E44</f>
        <v>0</v>
      </c>
      <c r="F43" s="792">
        <f>F44</f>
        <v>0</v>
      </c>
      <c r="G43" s="792">
        <f t="shared" ref="G43:L43" si="38">G44</f>
        <v>0</v>
      </c>
      <c r="H43" s="792">
        <f t="shared" si="38"/>
        <v>0</v>
      </c>
      <c r="I43" s="792">
        <f t="shared" si="38"/>
        <v>0</v>
      </c>
      <c r="J43" s="792">
        <f t="shared" si="38"/>
        <v>0</v>
      </c>
      <c r="K43" s="792">
        <f t="shared" si="38"/>
        <v>0</v>
      </c>
      <c r="L43" s="792">
        <f t="shared" si="38"/>
        <v>0</v>
      </c>
      <c r="M43" s="1124">
        <f>+M44</f>
        <v>0</v>
      </c>
      <c r="N43" s="3667"/>
    </row>
    <row r="44" spans="1:14" s="262" customFormat="1" ht="12.75" hidden="1" customHeight="1">
      <c r="A44" s="3441"/>
      <c r="B44" s="1129" t="s">
        <v>12</v>
      </c>
      <c r="C44" s="3673"/>
      <c r="D44" s="58"/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311"/>
      <c r="N44" s="3667"/>
    </row>
    <row r="45" spans="1:14" s="262" customFormat="1" ht="14.25" hidden="1" customHeight="1">
      <c r="A45" s="3441"/>
      <c r="B45" s="1130" t="s">
        <v>18</v>
      </c>
      <c r="C45" s="3673"/>
      <c r="D45" s="54"/>
      <c r="E45" s="793">
        <f t="shared" ref="E45" si="39">+E46</f>
        <v>0</v>
      </c>
      <c r="F45" s="793">
        <f>F46</f>
        <v>0</v>
      </c>
      <c r="G45" s="793">
        <f t="shared" ref="G45:L45" si="40">G46</f>
        <v>0</v>
      </c>
      <c r="H45" s="793">
        <f t="shared" si="40"/>
        <v>0</v>
      </c>
      <c r="I45" s="793">
        <f t="shared" si="40"/>
        <v>0</v>
      </c>
      <c r="J45" s="793">
        <f t="shared" si="40"/>
        <v>0</v>
      </c>
      <c r="K45" s="793">
        <f t="shared" si="40"/>
        <v>0</v>
      </c>
      <c r="L45" s="793">
        <f t="shared" si="40"/>
        <v>0</v>
      </c>
      <c r="M45" s="88">
        <f>+M46</f>
        <v>0</v>
      </c>
      <c r="N45" s="3667"/>
    </row>
    <row r="46" spans="1:14" s="262" customFormat="1" ht="13.5" hidden="1" customHeight="1">
      <c r="A46" s="3441"/>
      <c r="B46" s="315" t="s">
        <v>21</v>
      </c>
      <c r="C46" s="3674"/>
      <c r="D46" s="58"/>
      <c r="E46" s="51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311"/>
      <c r="N46" s="3667"/>
    </row>
    <row r="47" spans="1:14" s="262" customFormat="1" ht="15.75" hidden="1" customHeight="1">
      <c r="A47" s="3441"/>
      <c r="B47" s="31" t="s">
        <v>22</v>
      </c>
      <c r="C47" s="153"/>
      <c r="D47" s="225"/>
      <c r="E47" s="225">
        <f t="shared" ref="E47:E48" si="41">+E48</f>
        <v>0</v>
      </c>
      <c r="F47" s="224">
        <f t="shared" ref="F47:L48" si="42">F48</f>
        <v>0</v>
      </c>
      <c r="G47" s="224">
        <f t="shared" si="42"/>
        <v>0</v>
      </c>
      <c r="H47" s="224">
        <f t="shared" si="42"/>
        <v>0</v>
      </c>
      <c r="I47" s="224">
        <f t="shared" si="42"/>
        <v>0</v>
      </c>
      <c r="J47" s="224">
        <f t="shared" si="42"/>
        <v>0</v>
      </c>
      <c r="K47" s="224">
        <f t="shared" si="42"/>
        <v>0</v>
      </c>
      <c r="L47" s="224">
        <f t="shared" si="42"/>
        <v>0</v>
      </c>
      <c r="M47" s="3121" t="s">
        <v>61</v>
      </c>
      <c r="N47" s="3667"/>
    </row>
    <row r="48" spans="1:14" s="262" customFormat="1" ht="12.75" hidden="1" customHeight="1">
      <c r="A48" s="3441"/>
      <c r="B48" s="1126" t="s">
        <v>18</v>
      </c>
      <c r="C48" s="3675" t="s">
        <v>189</v>
      </c>
      <c r="D48" s="54"/>
      <c r="E48" s="54">
        <f t="shared" si="41"/>
        <v>0</v>
      </c>
      <c r="F48" s="54">
        <f t="shared" si="42"/>
        <v>0</v>
      </c>
      <c r="G48" s="54">
        <f t="shared" si="42"/>
        <v>0</v>
      </c>
      <c r="H48" s="54">
        <f t="shared" si="42"/>
        <v>0</v>
      </c>
      <c r="I48" s="54">
        <f t="shared" si="42"/>
        <v>0</v>
      </c>
      <c r="J48" s="54">
        <f t="shared" si="42"/>
        <v>0</v>
      </c>
      <c r="K48" s="54">
        <f t="shared" si="42"/>
        <v>0</v>
      </c>
      <c r="L48" s="54">
        <f t="shared" si="42"/>
        <v>0</v>
      </c>
      <c r="M48" s="3122"/>
      <c r="N48" s="3667"/>
    </row>
    <row r="49" spans="1:18" s="262" customFormat="1" ht="12.75" hidden="1" customHeight="1" thickBot="1">
      <c r="A49" s="3664"/>
      <c r="B49" s="259" t="s">
        <v>21</v>
      </c>
      <c r="C49" s="3676"/>
      <c r="D49" s="98"/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3123"/>
      <c r="N49" s="3668"/>
      <c r="O49" s="563">
        <f>D46-D49</f>
        <v>0</v>
      </c>
    </row>
    <row r="50" spans="1:18" ht="12" hidden="1">
      <c r="A50" s="3434" t="s">
        <v>66</v>
      </c>
      <c r="B50" s="204"/>
      <c r="C50" s="3007" t="s">
        <v>111</v>
      </c>
      <c r="D50" s="1119"/>
      <c r="E50" s="1120"/>
      <c r="F50" s="1121"/>
      <c r="G50" s="1121"/>
      <c r="H50" s="1121"/>
      <c r="I50" s="1120"/>
      <c r="J50" s="1120"/>
      <c r="K50" s="1120"/>
      <c r="L50" s="1120"/>
      <c r="M50" s="1122"/>
      <c r="N50" s="3370" t="s">
        <v>249</v>
      </c>
    </row>
    <row r="51" spans="1:18" ht="15.75" hidden="1" customHeight="1">
      <c r="A51" s="3435"/>
      <c r="B51" s="31" t="s">
        <v>10</v>
      </c>
      <c r="C51" s="22"/>
      <c r="D51" s="224"/>
      <c r="E51" s="224">
        <f t="shared" ref="E51:J52" si="43">+E52</f>
        <v>0</v>
      </c>
      <c r="F51" s="224">
        <f t="shared" si="43"/>
        <v>0</v>
      </c>
      <c r="G51" s="224">
        <f t="shared" si="43"/>
        <v>0</v>
      </c>
      <c r="H51" s="224">
        <f t="shared" si="43"/>
        <v>0</v>
      </c>
      <c r="I51" s="224">
        <f t="shared" si="43"/>
        <v>0</v>
      </c>
      <c r="J51" s="224">
        <f t="shared" si="43"/>
        <v>0</v>
      </c>
      <c r="K51" s="224">
        <f>+K52</f>
        <v>0</v>
      </c>
      <c r="L51" s="224">
        <f>+L52</f>
        <v>0</v>
      </c>
      <c r="M51" s="71" t="str">
        <f>+M52</f>
        <v>x</v>
      </c>
      <c r="N51" s="3371"/>
      <c r="O51" s="228"/>
      <c r="P51" s="228"/>
      <c r="Q51" s="228"/>
      <c r="R51" s="228"/>
    </row>
    <row r="52" spans="1:18" ht="14.25" hidden="1" customHeight="1">
      <c r="A52" s="3435"/>
      <c r="B52" s="797" t="s">
        <v>18</v>
      </c>
      <c r="C52" s="3091" t="s">
        <v>189</v>
      </c>
      <c r="D52" s="53"/>
      <c r="E52" s="114">
        <f t="shared" si="43"/>
        <v>0</v>
      </c>
      <c r="F52" s="115">
        <f t="shared" ref="F52:I52" si="44">F53</f>
        <v>0</v>
      </c>
      <c r="G52" s="115">
        <f t="shared" si="44"/>
        <v>0</v>
      </c>
      <c r="H52" s="115">
        <f t="shared" si="44"/>
        <v>0</v>
      </c>
      <c r="I52" s="115">
        <f t="shared" si="44"/>
        <v>0</v>
      </c>
      <c r="J52" s="115"/>
      <c r="K52" s="115"/>
      <c r="L52" s="115"/>
      <c r="M52" s="88" t="str">
        <f>+M53</f>
        <v>x</v>
      </c>
      <c r="N52" s="3667"/>
      <c r="P52" s="228"/>
      <c r="Q52" s="228"/>
      <c r="R52" s="228"/>
    </row>
    <row r="53" spans="1:18" ht="12.75" hidden="1">
      <c r="A53" s="3435"/>
      <c r="B53" s="315" t="s">
        <v>21</v>
      </c>
      <c r="C53" s="3147"/>
      <c r="D53" s="58"/>
      <c r="E53" s="51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1131" t="str">
        <f>+M54</f>
        <v>x</v>
      </c>
      <c r="N53" s="3667"/>
    </row>
    <row r="54" spans="1:18" ht="15.75" hidden="1" customHeight="1">
      <c r="A54" s="3435"/>
      <c r="B54" s="21" t="s">
        <v>22</v>
      </c>
      <c r="C54" s="22"/>
      <c r="D54" s="224"/>
      <c r="E54" s="224">
        <f t="shared" ref="E54:E55" si="45">+E55</f>
        <v>0</v>
      </c>
      <c r="F54" s="224">
        <f t="shared" ref="F54:L55" si="46">F55</f>
        <v>0</v>
      </c>
      <c r="G54" s="224">
        <f t="shared" si="46"/>
        <v>0</v>
      </c>
      <c r="H54" s="224">
        <f t="shared" si="46"/>
        <v>0</v>
      </c>
      <c r="I54" s="224">
        <f t="shared" si="46"/>
        <v>0</v>
      </c>
      <c r="J54" s="224">
        <f t="shared" si="46"/>
        <v>0</v>
      </c>
      <c r="K54" s="224">
        <f t="shared" si="46"/>
        <v>0</v>
      </c>
      <c r="L54" s="224">
        <f t="shared" si="46"/>
        <v>0</v>
      </c>
      <c r="M54" s="3121" t="s">
        <v>61</v>
      </c>
      <c r="N54" s="3667"/>
    </row>
    <row r="55" spans="1:18" ht="15" hidden="1" customHeight="1">
      <c r="A55" s="3435"/>
      <c r="B55" s="189" t="s">
        <v>18</v>
      </c>
      <c r="C55" s="3236" t="s">
        <v>85</v>
      </c>
      <c r="D55" s="53"/>
      <c r="E55" s="54">
        <f t="shared" si="45"/>
        <v>0</v>
      </c>
      <c r="F55" s="54">
        <f t="shared" si="46"/>
        <v>0</v>
      </c>
      <c r="G55" s="54">
        <f t="shared" si="46"/>
        <v>0</v>
      </c>
      <c r="H55" s="54">
        <f t="shared" si="46"/>
        <v>0</v>
      </c>
      <c r="I55" s="54">
        <f t="shared" si="46"/>
        <v>0</v>
      </c>
      <c r="J55" s="54">
        <f t="shared" si="46"/>
        <v>0</v>
      </c>
      <c r="K55" s="54">
        <f t="shared" si="46"/>
        <v>0</v>
      </c>
      <c r="L55" s="54">
        <f t="shared" si="46"/>
        <v>0</v>
      </c>
      <c r="M55" s="3122"/>
      <c r="N55" s="3667"/>
    </row>
    <row r="56" spans="1:18" ht="13.5" hidden="1" customHeight="1" thickBot="1">
      <c r="A56" s="3436"/>
      <c r="B56" s="3017" t="s">
        <v>21</v>
      </c>
      <c r="C56" s="3120"/>
      <c r="D56" s="58"/>
      <c r="E56" s="51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3123"/>
      <c r="N56" s="3671"/>
    </row>
    <row r="57" spans="1:18" s="262" customFormat="1" ht="12.75" hidden="1">
      <c r="A57" s="3434" t="s">
        <v>64</v>
      </c>
      <c r="B57" s="204"/>
      <c r="C57" s="3007" t="s">
        <v>191</v>
      </c>
      <c r="D57" s="1119"/>
      <c r="E57" s="1120"/>
      <c r="F57" s="1121"/>
      <c r="G57" s="1121"/>
      <c r="H57" s="1121"/>
      <c r="I57" s="1120"/>
      <c r="J57" s="1120"/>
      <c r="K57" s="1120"/>
      <c r="L57" s="1120"/>
      <c r="M57" s="1122"/>
      <c r="N57" s="3370" t="s">
        <v>249</v>
      </c>
    </row>
    <row r="58" spans="1:18" s="262" customFormat="1" ht="15.75" hidden="1" customHeight="1">
      <c r="A58" s="3435"/>
      <c r="B58" s="31" t="s">
        <v>10</v>
      </c>
      <c r="C58" s="22"/>
      <c r="D58" s="224"/>
      <c r="E58" s="224">
        <f t="shared" ref="E58" si="47">+E61</f>
        <v>0</v>
      </c>
      <c r="F58" s="224">
        <f t="shared" ref="F58:L58" si="48">+F61</f>
        <v>0</v>
      </c>
      <c r="G58" s="224">
        <f t="shared" si="48"/>
        <v>0</v>
      </c>
      <c r="H58" s="224">
        <f t="shared" si="48"/>
        <v>0</v>
      </c>
      <c r="I58" s="224">
        <f t="shared" si="48"/>
        <v>0</v>
      </c>
      <c r="J58" s="224">
        <f t="shared" si="48"/>
        <v>0</v>
      </c>
      <c r="K58" s="224">
        <f t="shared" si="48"/>
        <v>0</v>
      </c>
      <c r="L58" s="224">
        <f t="shared" si="48"/>
        <v>0</v>
      </c>
      <c r="M58" s="71">
        <f>+M61</f>
        <v>0</v>
      </c>
      <c r="N58" s="3371"/>
    </row>
    <row r="59" spans="1:18" s="262" customFormat="1" ht="15.75" hidden="1" customHeight="1">
      <c r="A59" s="3435"/>
      <c r="B59" s="625" t="s">
        <v>24</v>
      </c>
      <c r="C59" s="3091" t="s">
        <v>189</v>
      </c>
      <c r="D59" s="53"/>
      <c r="E59" s="114">
        <f>E60</f>
        <v>0</v>
      </c>
      <c r="F59" s="115"/>
      <c r="G59" s="115"/>
      <c r="H59" s="115"/>
      <c r="I59" s="115"/>
      <c r="J59" s="115"/>
      <c r="K59" s="115"/>
      <c r="L59" s="115"/>
      <c r="M59" s="88"/>
      <c r="N59" s="3371"/>
    </row>
    <row r="60" spans="1:18" s="262" customFormat="1" ht="15.75" hidden="1" customHeight="1">
      <c r="A60" s="3435"/>
      <c r="B60" s="1129" t="s">
        <v>12</v>
      </c>
      <c r="C60" s="3149"/>
      <c r="D60" s="49"/>
      <c r="E60" s="56">
        <v>0</v>
      </c>
      <c r="F60" s="56"/>
      <c r="G60" s="56"/>
      <c r="H60" s="56"/>
      <c r="I60" s="56"/>
      <c r="J60" s="56"/>
      <c r="K60" s="56"/>
      <c r="L60" s="56"/>
      <c r="M60" s="311"/>
      <c r="N60" s="3371"/>
    </row>
    <row r="61" spans="1:18" s="262" customFormat="1" ht="14.25" hidden="1" customHeight="1">
      <c r="A61" s="3435"/>
      <c r="B61" s="797" t="s">
        <v>18</v>
      </c>
      <c r="C61" s="3149"/>
      <c r="D61" s="53"/>
      <c r="E61" s="114">
        <f t="shared" ref="E61" si="49">+E62</f>
        <v>0</v>
      </c>
      <c r="F61" s="115">
        <f>F62</f>
        <v>0</v>
      </c>
      <c r="G61" s="115">
        <f t="shared" ref="G61:L61" si="50">G62</f>
        <v>0</v>
      </c>
      <c r="H61" s="115">
        <f t="shared" si="50"/>
        <v>0</v>
      </c>
      <c r="I61" s="115">
        <f t="shared" si="50"/>
        <v>0</v>
      </c>
      <c r="J61" s="115">
        <f t="shared" si="50"/>
        <v>0</v>
      </c>
      <c r="K61" s="115">
        <f t="shared" si="50"/>
        <v>0</v>
      </c>
      <c r="L61" s="115">
        <f t="shared" si="50"/>
        <v>0</v>
      </c>
      <c r="M61" s="88"/>
      <c r="N61" s="3667"/>
    </row>
    <row r="62" spans="1:18" s="262" customFormat="1" ht="11.25" hidden="1" customHeight="1">
      <c r="A62" s="3435"/>
      <c r="B62" s="315" t="s">
        <v>21</v>
      </c>
      <c r="C62" s="3124"/>
      <c r="D62" s="58"/>
      <c r="E62" s="51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311"/>
      <c r="N62" s="3667"/>
    </row>
    <row r="63" spans="1:18" s="262" customFormat="1" ht="15.75" hidden="1" customHeight="1">
      <c r="A63" s="3435"/>
      <c r="B63" s="21" t="s">
        <v>22</v>
      </c>
      <c r="C63" s="22"/>
      <c r="D63" s="224"/>
      <c r="E63" s="224">
        <f t="shared" ref="E63:E64" si="51">+E64</f>
        <v>0</v>
      </c>
      <c r="F63" s="224">
        <f t="shared" ref="F63:L64" si="52">F64</f>
        <v>0</v>
      </c>
      <c r="G63" s="224">
        <f t="shared" si="52"/>
        <v>0</v>
      </c>
      <c r="H63" s="224">
        <f t="shared" si="52"/>
        <v>0</v>
      </c>
      <c r="I63" s="224">
        <f t="shared" si="52"/>
        <v>0</v>
      </c>
      <c r="J63" s="224">
        <f t="shared" si="52"/>
        <v>0</v>
      </c>
      <c r="K63" s="224">
        <f t="shared" si="52"/>
        <v>0</v>
      </c>
      <c r="L63" s="224">
        <f t="shared" si="52"/>
        <v>0</v>
      </c>
      <c r="M63" s="3121" t="s">
        <v>61</v>
      </c>
      <c r="N63" s="3667"/>
      <c r="O63" s="563">
        <v>2842867</v>
      </c>
    </row>
    <row r="64" spans="1:18" s="262" customFormat="1" ht="12.75" hidden="1">
      <c r="A64" s="3435"/>
      <c r="B64" s="189" t="s">
        <v>18</v>
      </c>
      <c r="C64" s="3236" t="s">
        <v>85</v>
      </c>
      <c r="D64" s="53"/>
      <c r="E64" s="54">
        <f t="shared" si="51"/>
        <v>0</v>
      </c>
      <c r="F64" s="54">
        <f t="shared" si="52"/>
        <v>0</v>
      </c>
      <c r="G64" s="54">
        <f t="shared" si="52"/>
        <v>0</v>
      </c>
      <c r="H64" s="54">
        <f t="shared" si="52"/>
        <v>0</v>
      </c>
      <c r="I64" s="54">
        <f t="shared" si="52"/>
        <v>0</v>
      </c>
      <c r="J64" s="54">
        <f t="shared" si="52"/>
        <v>0</v>
      </c>
      <c r="K64" s="54">
        <f t="shared" si="52"/>
        <v>0</v>
      </c>
      <c r="L64" s="54">
        <f t="shared" si="52"/>
        <v>0</v>
      </c>
      <c r="M64" s="3122"/>
      <c r="N64" s="3667"/>
    </row>
    <row r="65" spans="1:15" s="262" customFormat="1" ht="12" hidden="1" customHeight="1" thickBot="1">
      <c r="A65" s="3436"/>
      <c r="B65" s="3017" t="s">
        <v>21</v>
      </c>
      <c r="C65" s="3120"/>
      <c r="D65" s="58"/>
      <c r="E65" s="51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3123"/>
      <c r="N65" s="3670"/>
    </row>
    <row r="66" spans="1:15" s="262" customFormat="1" ht="12.75" hidden="1">
      <c r="A66" s="3434" t="s">
        <v>65</v>
      </c>
      <c r="B66" s="204"/>
      <c r="C66" s="3007" t="s">
        <v>81</v>
      </c>
      <c r="D66" s="1119"/>
      <c r="E66" s="1120"/>
      <c r="F66" s="1121"/>
      <c r="G66" s="1121"/>
      <c r="H66" s="1121"/>
      <c r="I66" s="1120"/>
      <c r="J66" s="1120"/>
      <c r="K66" s="1120"/>
      <c r="L66" s="1120"/>
      <c r="M66" s="1122"/>
      <c r="N66" s="3370" t="s">
        <v>249</v>
      </c>
    </row>
    <row r="67" spans="1:15" s="262" customFormat="1" ht="14.25" hidden="1" customHeight="1">
      <c r="A67" s="3435"/>
      <c r="B67" s="358" t="s">
        <v>10</v>
      </c>
      <c r="C67" s="22"/>
      <c r="D67" s="1132"/>
      <c r="E67" s="1132">
        <f t="shared" ref="E67:M68" si="53">+E68</f>
        <v>0</v>
      </c>
      <c r="F67" s="1132">
        <f t="shared" si="53"/>
        <v>0</v>
      </c>
      <c r="G67" s="1132">
        <f t="shared" si="53"/>
        <v>0</v>
      </c>
      <c r="H67" s="1132">
        <f t="shared" si="53"/>
        <v>0</v>
      </c>
      <c r="I67" s="1132">
        <f t="shared" si="53"/>
        <v>0</v>
      </c>
      <c r="J67" s="1132">
        <f t="shared" si="53"/>
        <v>0</v>
      </c>
      <c r="K67" s="1132">
        <f t="shared" si="53"/>
        <v>0</v>
      </c>
      <c r="L67" s="1132">
        <f t="shared" si="53"/>
        <v>0</v>
      </c>
      <c r="M67" s="354">
        <f t="shared" si="53"/>
        <v>0</v>
      </c>
      <c r="N67" s="3371"/>
    </row>
    <row r="68" spans="1:15" s="262" customFormat="1" ht="14.25" hidden="1" customHeight="1">
      <c r="A68" s="3435"/>
      <c r="B68" s="359" t="s">
        <v>18</v>
      </c>
      <c r="C68" s="3658" t="s">
        <v>189</v>
      </c>
      <c r="D68" s="356"/>
      <c r="E68" s="360">
        <f t="shared" si="53"/>
        <v>0</v>
      </c>
      <c r="F68" s="361">
        <v>0</v>
      </c>
      <c r="G68" s="361">
        <v>0</v>
      </c>
      <c r="H68" s="361">
        <v>0</v>
      </c>
      <c r="I68" s="361">
        <v>0</v>
      </c>
      <c r="J68" s="361">
        <v>0</v>
      </c>
      <c r="K68" s="361">
        <v>0</v>
      </c>
      <c r="L68" s="361">
        <v>0</v>
      </c>
      <c r="M68" s="352">
        <f t="shared" si="53"/>
        <v>0</v>
      </c>
      <c r="N68" s="3667"/>
    </row>
    <row r="69" spans="1:15" s="262" customFormat="1" ht="11.25" hidden="1" customHeight="1">
      <c r="A69" s="3435"/>
      <c r="B69" s="315" t="s">
        <v>21</v>
      </c>
      <c r="C69" s="3147"/>
      <c r="D69" s="353"/>
      <c r="E69" s="2807">
        <v>0</v>
      </c>
      <c r="F69" s="355">
        <v>0</v>
      </c>
      <c r="G69" s="355">
        <v>0</v>
      </c>
      <c r="H69" s="355">
        <v>0</v>
      </c>
      <c r="I69" s="355">
        <v>0</v>
      </c>
      <c r="J69" s="355">
        <v>0</v>
      </c>
      <c r="K69" s="355">
        <v>0</v>
      </c>
      <c r="L69" s="355">
        <v>0</v>
      </c>
      <c r="M69" s="1133"/>
      <c r="N69" s="3667"/>
    </row>
    <row r="70" spans="1:15" s="262" customFormat="1" ht="13.5" hidden="1" customHeight="1">
      <c r="A70" s="3435"/>
      <c r="B70" s="21" t="s">
        <v>22</v>
      </c>
      <c r="C70" s="22"/>
      <c r="D70" s="1132"/>
      <c r="E70" s="1132">
        <f t="shared" ref="E70:E71" si="54">+E71</f>
        <v>0</v>
      </c>
      <c r="F70" s="1132">
        <f t="shared" ref="F70:L71" si="55">F71</f>
        <v>0</v>
      </c>
      <c r="G70" s="1132">
        <f t="shared" si="55"/>
        <v>0</v>
      </c>
      <c r="H70" s="1132">
        <f t="shared" si="55"/>
        <v>0</v>
      </c>
      <c r="I70" s="1132">
        <f t="shared" si="55"/>
        <v>0</v>
      </c>
      <c r="J70" s="1132">
        <f t="shared" si="55"/>
        <v>0</v>
      </c>
      <c r="K70" s="1132">
        <f t="shared" si="55"/>
        <v>0</v>
      </c>
      <c r="L70" s="1132">
        <f t="shared" si="55"/>
        <v>0</v>
      </c>
      <c r="M70" s="3666" t="s">
        <v>61</v>
      </c>
      <c r="N70" s="3667"/>
    </row>
    <row r="71" spans="1:15" s="262" customFormat="1" ht="12" hidden="1" customHeight="1">
      <c r="A71" s="3435"/>
      <c r="B71" s="189" t="s">
        <v>18</v>
      </c>
      <c r="C71" s="3660" t="s">
        <v>85</v>
      </c>
      <c r="D71" s="356"/>
      <c r="E71" s="357">
        <f t="shared" si="54"/>
        <v>0</v>
      </c>
      <c r="F71" s="357">
        <f t="shared" si="55"/>
        <v>0</v>
      </c>
      <c r="G71" s="357">
        <f t="shared" si="55"/>
        <v>0</v>
      </c>
      <c r="H71" s="357">
        <f t="shared" si="55"/>
        <v>0</v>
      </c>
      <c r="I71" s="357">
        <f t="shared" si="55"/>
        <v>0</v>
      </c>
      <c r="J71" s="357">
        <f t="shared" si="55"/>
        <v>0</v>
      </c>
      <c r="K71" s="357">
        <f t="shared" si="55"/>
        <v>0</v>
      </c>
      <c r="L71" s="357">
        <f t="shared" si="55"/>
        <v>0</v>
      </c>
      <c r="M71" s="3122"/>
      <c r="N71" s="3667"/>
    </row>
    <row r="72" spans="1:15" s="262" customFormat="1" ht="13.5" hidden="1" thickBot="1">
      <c r="A72" s="3436"/>
      <c r="B72" s="3017" t="s">
        <v>21</v>
      </c>
      <c r="C72" s="3120"/>
      <c r="D72" s="98"/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123"/>
      <c r="N72" s="3668"/>
    </row>
    <row r="73" spans="1:15" s="262" customFormat="1" ht="12.75" hidden="1">
      <c r="A73" s="3434" t="s">
        <v>66</v>
      </c>
      <c r="B73" s="204"/>
      <c r="C73" s="3007" t="s">
        <v>191</v>
      </c>
      <c r="D73" s="1119"/>
      <c r="E73" s="1120"/>
      <c r="F73" s="1121"/>
      <c r="G73" s="1121"/>
      <c r="H73" s="1121"/>
      <c r="I73" s="1120"/>
      <c r="J73" s="1120"/>
      <c r="K73" s="1120"/>
      <c r="L73" s="1120"/>
      <c r="M73" s="1122"/>
      <c r="N73" s="3370" t="s">
        <v>249</v>
      </c>
    </row>
    <row r="74" spans="1:15" s="262" customFormat="1" ht="12.75" hidden="1">
      <c r="A74" s="3435"/>
      <c r="B74" s="31" t="s">
        <v>10</v>
      </c>
      <c r="C74" s="22"/>
      <c r="D74" s="224"/>
      <c r="E74" s="224">
        <f t="shared" ref="E74:M75" si="56">+E75</f>
        <v>0</v>
      </c>
      <c r="F74" s="224">
        <f t="shared" si="56"/>
        <v>0</v>
      </c>
      <c r="G74" s="224">
        <f t="shared" si="56"/>
        <v>0</v>
      </c>
      <c r="H74" s="224">
        <f t="shared" si="56"/>
        <v>0</v>
      </c>
      <c r="I74" s="224">
        <f t="shared" si="56"/>
        <v>0</v>
      </c>
      <c r="J74" s="224">
        <f t="shared" si="56"/>
        <v>0</v>
      </c>
      <c r="K74" s="224">
        <f t="shared" si="56"/>
        <v>0</v>
      </c>
      <c r="L74" s="224">
        <f t="shared" si="56"/>
        <v>0</v>
      </c>
      <c r="M74" s="71">
        <f t="shared" si="56"/>
        <v>0</v>
      </c>
      <c r="N74" s="3371"/>
    </row>
    <row r="75" spans="1:15" s="262" customFormat="1" ht="12.75" hidden="1" customHeight="1">
      <c r="A75" s="3435"/>
      <c r="B75" s="797" t="s">
        <v>18</v>
      </c>
      <c r="C75" s="3091" t="s">
        <v>189</v>
      </c>
      <c r="D75" s="53"/>
      <c r="E75" s="114">
        <f t="shared" si="56"/>
        <v>0</v>
      </c>
      <c r="F75" s="115">
        <v>0</v>
      </c>
      <c r="G75" s="115">
        <v>0</v>
      </c>
      <c r="H75" s="115">
        <v>0</v>
      </c>
      <c r="I75" s="115">
        <v>0</v>
      </c>
      <c r="J75" s="115">
        <v>0</v>
      </c>
      <c r="K75" s="115">
        <v>0</v>
      </c>
      <c r="L75" s="115">
        <v>0</v>
      </c>
      <c r="M75" s="88">
        <f t="shared" si="56"/>
        <v>0</v>
      </c>
      <c r="N75" s="3667"/>
    </row>
    <row r="76" spans="1:15" s="262" customFormat="1" ht="12.75" hidden="1">
      <c r="A76" s="3435"/>
      <c r="B76" s="315" t="s">
        <v>21</v>
      </c>
      <c r="C76" s="3147"/>
      <c r="D76" s="58"/>
      <c r="E76" s="51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311"/>
      <c r="N76" s="3667"/>
    </row>
    <row r="77" spans="1:15" s="262" customFormat="1" ht="12.75" hidden="1">
      <c r="A77" s="3435"/>
      <c r="B77" s="21" t="s">
        <v>22</v>
      </c>
      <c r="C77" s="22"/>
      <c r="D77" s="224"/>
      <c r="E77" s="224">
        <f t="shared" ref="E77:E78" si="57">+E78</f>
        <v>0</v>
      </c>
      <c r="F77" s="224">
        <f t="shared" ref="F77:L78" si="58">F78</f>
        <v>0</v>
      </c>
      <c r="G77" s="224">
        <f t="shared" si="58"/>
        <v>0</v>
      </c>
      <c r="H77" s="224">
        <f t="shared" si="58"/>
        <v>0</v>
      </c>
      <c r="I77" s="224">
        <f t="shared" si="58"/>
        <v>0</v>
      </c>
      <c r="J77" s="224">
        <f t="shared" si="58"/>
        <v>0</v>
      </c>
      <c r="K77" s="224">
        <f t="shared" si="58"/>
        <v>0</v>
      </c>
      <c r="L77" s="224">
        <f t="shared" si="58"/>
        <v>0</v>
      </c>
      <c r="M77" s="3121" t="s">
        <v>61</v>
      </c>
      <c r="N77" s="3667"/>
      <c r="O77" s="563">
        <v>6000000</v>
      </c>
    </row>
    <row r="78" spans="1:15" s="262" customFormat="1" ht="12" hidden="1" customHeight="1">
      <c r="A78" s="3435"/>
      <c r="B78" s="189" t="s">
        <v>18</v>
      </c>
      <c r="C78" s="3236" t="s">
        <v>85</v>
      </c>
      <c r="D78" s="53"/>
      <c r="E78" s="54">
        <f t="shared" si="57"/>
        <v>0</v>
      </c>
      <c r="F78" s="54">
        <f t="shared" si="58"/>
        <v>0</v>
      </c>
      <c r="G78" s="54">
        <f t="shared" si="58"/>
        <v>0</v>
      </c>
      <c r="H78" s="54">
        <f t="shared" si="58"/>
        <v>0</v>
      </c>
      <c r="I78" s="54">
        <f t="shared" si="58"/>
        <v>0</v>
      </c>
      <c r="J78" s="54">
        <f t="shared" si="58"/>
        <v>0</v>
      </c>
      <c r="K78" s="54">
        <f t="shared" si="58"/>
        <v>0</v>
      </c>
      <c r="L78" s="54">
        <f t="shared" si="58"/>
        <v>0</v>
      </c>
      <c r="M78" s="3122"/>
      <c r="N78" s="3667"/>
    </row>
    <row r="79" spans="1:15" s="262" customFormat="1" ht="13.5" hidden="1" thickBot="1">
      <c r="A79" s="3436"/>
      <c r="B79" s="3017" t="s">
        <v>21</v>
      </c>
      <c r="C79" s="3120"/>
      <c r="D79" s="98"/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3123"/>
      <c r="N79" s="3668"/>
    </row>
    <row r="80" spans="1:15" s="262" customFormat="1" ht="27.75" hidden="1" customHeight="1">
      <c r="A80" s="3441" t="s">
        <v>63</v>
      </c>
      <c r="B80" s="204" t="s">
        <v>432</v>
      </c>
      <c r="C80" s="3007" t="s">
        <v>191</v>
      </c>
      <c r="D80" s="1119"/>
      <c r="E80" s="1120"/>
      <c r="F80" s="1121"/>
      <c r="G80" s="1121"/>
      <c r="H80" s="1121"/>
      <c r="I80" s="1120"/>
      <c r="J80" s="1120"/>
      <c r="K80" s="1120"/>
      <c r="L80" s="1120"/>
      <c r="M80" s="1122"/>
      <c r="N80" s="3264" t="s">
        <v>249</v>
      </c>
    </row>
    <row r="81" spans="1:15" s="262" customFormat="1" ht="12.75" hidden="1">
      <c r="A81" s="3435"/>
      <c r="B81" s="31" t="s">
        <v>10</v>
      </c>
      <c r="C81" s="22"/>
      <c r="D81" s="224"/>
      <c r="E81" s="224">
        <f t="shared" ref="E81" si="59">E82+E84</f>
        <v>0</v>
      </c>
      <c r="F81" s="224">
        <f t="shared" ref="F81:L81" si="60">+F84</f>
        <v>0</v>
      </c>
      <c r="G81" s="224">
        <f t="shared" si="60"/>
        <v>0</v>
      </c>
      <c r="H81" s="224">
        <f t="shared" si="60"/>
        <v>0</v>
      </c>
      <c r="I81" s="224">
        <f t="shared" si="60"/>
        <v>0</v>
      </c>
      <c r="J81" s="224">
        <f t="shared" si="60"/>
        <v>0</v>
      </c>
      <c r="K81" s="224">
        <f t="shared" si="60"/>
        <v>0</v>
      </c>
      <c r="L81" s="224">
        <f t="shared" si="60"/>
        <v>0</v>
      </c>
      <c r="M81" s="71">
        <f>+M84+M82</f>
        <v>0</v>
      </c>
      <c r="N81" s="3265"/>
    </row>
    <row r="82" spans="1:15" s="262" customFormat="1" ht="14.25" hidden="1" customHeight="1">
      <c r="A82" s="3435"/>
      <c r="B82" s="1134" t="s">
        <v>24</v>
      </c>
      <c r="C82" s="3658" t="s">
        <v>189</v>
      </c>
      <c r="D82" s="356"/>
      <c r="E82" s="360">
        <f t="shared" ref="E82" si="61">E83</f>
        <v>0</v>
      </c>
      <c r="F82" s="361">
        <v>0</v>
      </c>
      <c r="G82" s="361">
        <v>0</v>
      </c>
      <c r="H82" s="361">
        <v>0</v>
      </c>
      <c r="I82" s="361">
        <v>0</v>
      </c>
      <c r="J82" s="361">
        <v>0</v>
      </c>
      <c r="K82" s="361">
        <v>0</v>
      </c>
      <c r="L82" s="361">
        <v>0</v>
      </c>
      <c r="M82" s="352">
        <f>M83</f>
        <v>0</v>
      </c>
      <c r="N82" s="3265"/>
    </row>
    <row r="83" spans="1:15" s="262" customFormat="1" ht="14.25" hidden="1" customHeight="1">
      <c r="A83" s="3435"/>
      <c r="B83" s="1135" t="s">
        <v>12</v>
      </c>
      <c r="C83" s="3149"/>
      <c r="D83" s="280"/>
      <c r="E83" s="1333"/>
      <c r="F83" s="355">
        <v>0</v>
      </c>
      <c r="G83" s="355">
        <v>0</v>
      </c>
      <c r="H83" s="355">
        <v>0</v>
      </c>
      <c r="I83" s="355">
        <v>0</v>
      </c>
      <c r="J83" s="355">
        <v>0</v>
      </c>
      <c r="K83" s="355">
        <v>0</v>
      </c>
      <c r="L83" s="355">
        <v>0</v>
      </c>
      <c r="M83" s="1116">
        <f>SUM(F83:L83)</f>
        <v>0</v>
      </c>
      <c r="N83" s="3265"/>
    </row>
    <row r="84" spans="1:15" s="262" customFormat="1" ht="12.75" hidden="1" customHeight="1">
      <c r="A84" s="3435"/>
      <c r="B84" s="797" t="s">
        <v>18</v>
      </c>
      <c r="C84" s="3149"/>
      <c r="D84" s="53"/>
      <c r="E84" s="114">
        <f t="shared" ref="E84:M84" si="62">+E85</f>
        <v>0</v>
      </c>
      <c r="F84" s="115">
        <v>0</v>
      </c>
      <c r="G84" s="115">
        <v>0</v>
      </c>
      <c r="H84" s="115">
        <v>0</v>
      </c>
      <c r="I84" s="115">
        <v>0</v>
      </c>
      <c r="J84" s="115">
        <v>0</v>
      </c>
      <c r="K84" s="115">
        <v>0</v>
      </c>
      <c r="L84" s="115">
        <v>0</v>
      </c>
      <c r="M84" s="88">
        <f t="shared" si="62"/>
        <v>0</v>
      </c>
      <c r="N84" s="3211"/>
    </row>
    <row r="85" spans="1:15" s="262" customFormat="1" ht="12.75" hidden="1">
      <c r="A85" s="3435"/>
      <c r="B85" s="315" t="s">
        <v>21</v>
      </c>
      <c r="C85" s="3124"/>
      <c r="D85" s="280"/>
      <c r="E85" s="1333"/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1116">
        <f>SUM(F85:L85)</f>
        <v>0</v>
      </c>
      <c r="N85" s="3211"/>
    </row>
    <row r="86" spans="1:15" s="262" customFormat="1" ht="12.75" hidden="1">
      <c r="A86" s="3435"/>
      <c r="B86" s="21" t="s">
        <v>22</v>
      </c>
      <c r="C86" s="22"/>
      <c r="D86" s="224"/>
      <c r="E86" s="224">
        <f t="shared" ref="E86:E87" si="63">+E87</f>
        <v>0</v>
      </c>
      <c r="F86" s="224">
        <f t="shared" ref="F86:L87" si="64">F87</f>
        <v>0</v>
      </c>
      <c r="G86" s="224">
        <f t="shared" si="64"/>
        <v>0</v>
      </c>
      <c r="H86" s="224">
        <f t="shared" si="64"/>
        <v>0</v>
      </c>
      <c r="I86" s="224">
        <f t="shared" si="64"/>
        <v>0</v>
      </c>
      <c r="J86" s="224">
        <f t="shared" si="64"/>
        <v>0</v>
      </c>
      <c r="K86" s="224">
        <f t="shared" si="64"/>
        <v>0</v>
      </c>
      <c r="L86" s="224">
        <f t="shared" si="64"/>
        <v>0</v>
      </c>
      <c r="M86" s="3121" t="s">
        <v>61</v>
      </c>
      <c r="N86" s="3211"/>
      <c r="O86" s="563">
        <v>683592</v>
      </c>
    </row>
    <row r="87" spans="1:15" s="262" customFormat="1" ht="12.75" hidden="1" customHeight="1">
      <c r="A87" s="3435"/>
      <c r="B87" s="189" t="s">
        <v>18</v>
      </c>
      <c r="C87" s="3236" t="s">
        <v>85</v>
      </c>
      <c r="D87" s="53"/>
      <c r="E87" s="54">
        <f t="shared" si="63"/>
        <v>0</v>
      </c>
      <c r="F87" s="54">
        <f t="shared" si="64"/>
        <v>0</v>
      </c>
      <c r="G87" s="54">
        <f t="shared" si="64"/>
        <v>0</v>
      </c>
      <c r="H87" s="54">
        <f t="shared" si="64"/>
        <v>0</v>
      </c>
      <c r="I87" s="54">
        <f t="shared" si="64"/>
        <v>0</v>
      </c>
      <c r="J87" s="54">
        <f t="shared" si="64"/>
        <v>0</v>
      </c>
      <c r="K87" s="54">
        <f t="shared" si="64"/>
        <v>0</v>
      </c>
      <c r="L87" s="54">
        <f t="shared" si="64"/>
        <v>0</v>
      </c>
      <c r="M87" s="3122"/>
      <c r="N87" s="3211"/>
    </row>
    <row r="88" spans="1:15" s="262" customFormat="1" ht="13.5" hidden="1" thickBot="1">
      <c r="A88" s="3436"/>
      <c r="B88" s="3017" t="s">
        <v>21</v>
      </c>
      <c r="C88" s="3120"/>
      <c r="D88" s="280"/>
      <c r="E88" s="1333"/>
      <c r="F88" s="80">
        <v>0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  <c r="M88" s="3123"/>
      <c r="N88" s="3657"/>
    </row>
    <row r="89" spans="1:15" s="262" customFormat="1" ht="27.75" hidden="1" customHeight="1">
      <c r="A89" s="3441" t="s">
        <v>64</v>
      </c>
      <c r="B89" s="204" t="s">
        <v>433</v>
      </c>
      <c r="C89" s="3007" t="s">
        <v>81</v>
      </c>
      <c r="D89" s="1119"/>
      <c r="E89" s="1120"/>
      <c r="F89" s="1121"/>
      <c r="G89" s="1121"/>
      <c r="H89" s="1121"/>
      <c r="I89" s="1120"/>
      <c r="J89" s="1120"/>
      <c r="K89" s="1120"/>
      <c r="L89" s="1120"/>
      <c r="M89" s="1122"/>
      <c r="N89" s="3371" t="s">
        <v>249</v>
      </c>
    </row>
    <row r="90" spans="1:15" s="262" customFormat="1" ht="12.75" hidden="1">
      <c r="A90" s="3435"/>
      <c r="B90" s="31" t="s">
        <v>10</v>
      </c>
      <c r="C90" s="22"/>
      <c r="D90" s="224"/>
      <c r="E90" s="224">
        <f t="shared" ref="E90" si="65">E91+E93</f>
        <v>0</v>
      </c>
      <c r="F90" s="224">
        <f t="shared" ref="F90:L90" si="66">+F93</f>
        <v>0</v>
      </c>
      <c r="G90" s="224">
        <f t="shared" si="66"/>
        <v>0</v>
      </c>
      <c r="H90" s="224">
        <f t="shared" si="66"/>
        <v>0</v>
      </c>
      <c r="I90" s="224">
        <f t="shared" si="66"/>
        <v>0</v>
      </c>
      <c r="J90" s="224">
        <f t="shared" si="66"/>
        <v>0</v>
      </c>
      <c r="K90" s="224">
        <f t="shared" si="66"/>
        <v>0</v>
      </c>
      <c r="L90" s="224">
        <f t="shared" si="66"/>
        <v>0</v>
      </c>
      <c r="M90" s="71">
        <f>M91</f>
        <v>0</v>
      </c>
      <c r="N90" s="3371"/>
    </row>
    <row r="91" spans="1:15" s="262" customFormat="1" ht="14.25" hidden="1" customHeight="1">
      <c r="A91" s="3435"/>
      <c r="B91" s="1134" t="s">
        <v>24</v>
      </c>
      <c r="C91" s="3106" t="s">
        <v>189</v>
      </c>
      <c r="D91" s="356"/>
      <c r="E91" s="360">
        <f>E92</f>
        <v>0</v>
      </c>
      <c r="F91" s="361">
        <v>0</v>
      </c>
      <c r="G91" s="361">
        <v>0</v>
      </c>
      <c r="H91" s="361">
        <v>0</v>
      </c>
      <c r="I91" s="361">
        <v>0</v>
      </c>
      <c r="J91" s="361">
        <v>0</v>
      </c>
      <c r="K91" s="361">
        <v>0</v>
      </c>
      <c r="L91" s="361">
        <v>0</v>
      </c>
      <c r="M91" s="352">
        <f>M92</f>
        <v>0</v>
      </c>
      <c r="N91" s="3371"/>
    </row>
    <row r="92" spans="1:15" s="262" customFormat="1" ht="14.25" hidden="1" customHeight="1">
      <c r="A92" s="3435"/>
      <c r="B92" s="1135" t="s">
        <v>12</v>
      </c>
      <c r="C92" s="3149"/>
      <c r="D92" s="280"/>
      <c r="E92" s="1333"/>
      <c r="F92" s="355">
        <v>0</v>
      </c>
      <c r="G92" s="355">
        <v>0</v>
      </c>
      <c r="H92" s="355">
        <v>0</v>
      </c>
      <c r="I92" s="355">
        <v>0</v>
      </c>
      <c r="J92" s="355">
        <v>0</v>
      </c>
      <c r="K92" s="355">
        <v>0</v>
      </c>
      <c r="L92" s="355">
        <v>0</v>
      </c>
      <c r="M92" s="1116">
        <f>SUM(F92:L92)</f>
        <v>0</v>
      </c>
      <c r="N92" s="3371"/>
    </row>
    <row r="93" spans="1:15" s="262" customFormat="1" ht="12.75" hidden="1" customHeight="1">
      <c r="A93" s="3435"/>
      <c r="B93" s="797" t="s">
        <v>18</v>
      </c>
      <c r="C93" s="3149"/>
      <c r="D93" s="53"/>
      <c r="E93" s="114">
        <f t="shared" ref="E93:M93" si="67">+E94</f>
        <v>0</v>
      </c>
      <c r="F93" s="115">
        <v>0</v>
      </c>
      <c r="G93" s="115">
        <v>0</v>
      </c>
      <c r="H93" s="115">
        <v>0</v>
      </c>
      <c r="I93" s="115">
        <v>0</v>
      </c>
      <c r="J93" s="115">
        <v>0</v>
      </c>
      <c r="K93" s="115">
        <v>0</v>
      </c>
      <c r="L93" s="115">
        <v>0</v>
      </c>
      <c r="M93" s="88">
        <f t="shared" si="67"/>
        <v>0</v>
      </c>
      <c r="N93" s="3667"/>
    </row>
    <row r="94" spans="1:15" s="262" customFormat="1" ht="12.75" hidden="1">
      <c r="A94" s="3435"/>
      <c r="B94" s="315" t="s">
        <v>21</v>
      </c>
      <c r="C94" s="3124"/>
      <c r="D94" s="280"/>
      <c r="E94" s="1333"/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1116">
        <f>SUM(F94:L94)</f>
        <v>0</v>
      </c>
      <c r="N94" s="3667"/>
    </row>
    <row r="95" spans="1:15" s="262" customFormat="1" ht="12.75" hidden="1">
      <c r="A95" s="3435"/>
      <c r="B95" s="21" t="s">
        <v>22</v>
      </c>
      <c r="C95" s="22"/>
      <c r="D95" s="224"/>
      <c r="E95" s="224">
        <f t="shared" ref="E95:E96" si="68">+E96</f>
        <v>0</v>
      </c>
      <c r="F95" s="224">
        <f t="shared" ref="F95:L96" si="69">F96</f>
        <v>0</v>
      </c>
      <c r="G95" s="224">
        <f t="shared" si="69"/>
        <v>0</v>
      </c>
      <c r="H95" s="224">
        <f t="shared" si="69"/>
        <v>0</v>
      </c>
      <c r="I95" s="224">
        <f t="shared" si="69"/>
        <v>0</v>
      </c>
      <c r="J95" s="224">
        <f t="shared" si="69"/>
        <v>0</v>
      </c>
      <c r="K95" s="224">
        <f t="shared" si="69"/>
        <v>0</v>
      </c>
      <c r="L95" s="224">
        <f t="shared" si="69"/>
        <v>0</v>
      </c>
      <c r="M95" s="3121" t="s">
        <v>61</v>
      </c>
      <c r="N95" s="3667"/>
    </row>
    <row r="96" spans="1:15" s="262" customFormat="1" ht="12.75" hidden="1" customHeight="1">
      <c r="A96" s="3435"/>
      <c r="B96" s="189" t="s">
        <v>18</v>
      </c>
      <c r="C96" s="3236" t="s">
        <v>85</v>
      </c>
      <c r="D96" s="53"/>
      <c r="E96" s="54">
        <f t="shared" si="68"/>
        <v>0</v>
      </c>
      <c r="F96" s="54">
        <f t="shared" si="69"/>
        <v>0</v>
      </c>
      <c r="G96" s="54">
        <f t="shared" si="69"/>
        <v>0</v>
      </c>
      <c r="H96" s="54">
        <f t="shared" si="69"/>
        <v>0</v>
      </c>
      <c r="I96" s="54">
        <f t="shared" si="69"/>
        <v>0</v>
      </c>
      <c r="J96" s="54">
        <f t="shared" si="69"/>
        <v>0</v>
      </c>
      <c r="K96" s="54">
        <f t="shared" si="69"/>
        <v>0</v>
      </c>
      <c r="L96" s="54">
        <f t="shared" si="69"/>
        <v>0</v>
      </c>
      <c r="M96" s="3122"/>
      <c r="N96" s="3667"/>
    </row>
    <row r="97" spans="1:16" s="262" customFormat="1" ht="13.5" hidden="1" thickBot="1">
      <c r="A97" s="3436"/>
      <c r="B97" s="3017" t="s">
        <v>21</v>
      </c>
      <c r="C97" s="3120"/>
      <c r="D97" s="280"/>
      <c r="E97" s="1333"/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123"/>
      <c r="N97" s="3670"/>
    </row>
    <row r="98" spans="1:16" s="262" customFormat="1" ht="27" customHeight="1">
      <c r="A98" s="3434" t="s">
        <v>63</v>
      </c>
      <c r="B98" s="204" t="s">
        <v>584</v>
      </c>
      <c r="C98" s="3007" t="s">
        <v>81</v>
      </c>
      <c r="D98" s="1119"/>
      <c r="E98" s="1120"/>
      <c r="F98" s="1121"/>
      <c r="G98" s="1121"/>
      <c r="H98" s="1121"/>
      <c r="I98" s="1120"/>
      <c r="J98" s="1120"/>
      <c r="K98" s="1120"/>
      <c r="L98" s="1120"/>
      <c r="M98" s="1122"/>
      <c r="N98" s="3264" t="s">
        <v>87</v>
      </c>
    </row>
    <row r="99" spans="1:16" s="262" customFormat="1" ht="14.25" customHeight="1">
      <c r="A99" s="3435"/>
      <c r="B99" s="3048" t="s">
        <v>10</v>
      </c>
      <c r="C99" s="22"/>
      <c r="D99" s="2229">
        <f>D100+D102</f>
        <v>45474581</v>
      </c>
      <c r="E99" s="2229">
        <f>+E102+E100</f>
        <v>146960</v>
      </c>
      <c r="F99" s="2229">
        <f>+F102+F100</f>
        <v>970000</v>
      </c>
      <c r="G99" s="2229">
        <f>+G100+G102</f>
        <v>44357621</v>
      </c>
      <c r="H99" s="2229">
        <f t="shared" ref="H99" si="70">+H102</f>
        <v>0</v>
      </c>
      <c r="I99" s="2229"/>
      <c r="J99" s="2229"/>
      <c r="K99" s="2229"/>
      <c r="L99" s="2229"/>
      <c r="M99" s="2222">
        <f>+M102+M100</f>
        <v>45327621</v>
      </c>
      <c r="N99" s="3265"/>
    </row>
    <row r="100" spans="1:16" s="262" customFormat="1" ht="14.25" customHeight="1">
      <c r="A100" s="3435"/>
      <c r="B100" s="3049" t="s">
        <v>24</v>
      </c>
      <c r="C100" s="3193" t="s">
        <v>189</v>
      </c>
      <c r="D100" s="2227">
        <f>D101</f>
        <v>7090603</v>
      </c>
      <c r="E100" s="3050">
        <f t="shared" ref="E100:H100" si="71">E101</f>
        <v>146960</v>
      </c>
      <c r="F100" s="3051">
        <f t="shared" si="71"/>
        <v>158250</v>
      </c>
      <c r="G100" s="3052">
        <f t="shared" si="71"/>
        <v>6785393</v>
      </c>
      <c r="H100" s="3052">
        <f t="shared" si="71"/>
        <v>0</v>
      </c>
      <c r="I100" s="3052"/>
      <c r="J100" s="3052"/>
      <c r="K100" s="3052"/>
      <c r="L100" s="3052"/>
      <c r="M100" s="3053">
        <f>M101</f>
        <v>6943643</v>
      </c>
      <c r="N100" s="3265"/>
    </row>
    <row r="101" spans="1:16" s="262" customFormat="1" ht="14.25" customHeight="1">
      <c r="A101" s="3435"/>
      <c r="B101" s="3054" t="s">
        <v>12</v>
      </c>
      <c r="C101" s="3149"/>
      <c r="D101" s="280">
        <f>E101+F101+G101+H101+I101+J101+K101+L101</f>
        <v>7090603</v>
      </c>
      <c r="E101" s="280">
        <v>146960</v>
      </c>
      <c r="F101" s="3055">
        <f>2732267+170000-2664017-80000</f>
        <v>158250</v>
      </c>
      <c r="G101" s="3055">
        <f>4041376+2664017+80000</f>
        <v>6785393</v>
      </c>
      <c r="H101" s="3055">
        <v>0</v>
      </c>
      <c r="I101" s="3055"/>
      <c r="J101" s="3055"/>
      <c r="K101" s="3055"/>
      <c r="L101" s="3055"/>
      <c r="M101" s="1116">
        <f>SUM(F101:L101)</f>
        <v>6943643</v>
      </c>
      <c r="N101" s="3265"/>
    </row>
    <row r="102" spans="1:16" s="262" customFormat="1" ht="14.25" customHeight="1">
      <c r="A102" s="3435"/>
      <c r="B102" s="3056" t="s">
        <v>18</v>
      </c>
      <c r="C102" s="3149"/>
      <c r="D102" s="2227">
        <f>D103</f>
        <v>38383978</v>
      </c>
      <c r="E102" s="3050">
        <f t="shared" ref="E102" si="72">+E103</f>
        <v>0</v>
      </c>
      <c r="F102" s="3052">
        <f>+F103</f>
        <v>811750</v>
      </c>
      <c r="G102" s="3052">
        <f>+G103</f>
        <v>37572228</v>
      </c>
      <c r="H102" s="3052">
        <v>0</v>
      </c>
      <c r="I102" s="3052"/>
      <c r="J102" s="3052"/>
      <c r="K102" s="3052"/>
      <c r="L102" s="3052"/>
      <c r="M102" s="3053">
        <f>+M103</f>
        <v>38383978</v>
      </c>
      <c r="N102" s="3265"/>
    </row>
    <row r="103" spans="1:16" s="262" customFormat="1" ht="15" customHeight="1">
      <c r="A103" s="3435"/>
      <c r="B103" s="315" t="s">
        <v>21</v>
      </c>
      <c r="C103" s="3124"/>
      <c r="D103" s="280">
        <f>E103+F103+G103+H103+I103+J103+K103+L103</f>
        <v>38383978</v>
      </c>
      <c r="E103" s="280">
        <v>0</v>
      </c>
      <c r="F103" s="3055">
        <f>15482849-14416099-255000</f>
        <v>811750</v>
      </c>
      <c r="G103" s="3055">
        <f>22901129+14416099+255000</f>
        <v>37572228</v>
      </c>
      <c r="H103" s="3055">
        <v>0</v>
      </c>
      <c r="I103" s="3055"/>
      <c r="J103" s="3055"/>
      <c r="K103" s="3055"/>
      <c r="L103" s="3055"/>
      <c r="M103" s="1116">
        <f>SUM(F103:L103)</f>
        <v>38383978</v>
      </c>
      <c r="N103" s="3659"/>
    </row>
    <row r="104" spans="1:16" s="262" customFormat="1" ht="14.25" customHeight="1">
      <c r="A104" s="3435"/>
      <c r="B104" s="21" t="s">
        <v>22</v>
      </c>
      <c r="C104" s="22"/>
      <c r="D104" s="2229">
        <f>+D105</f>
        <v>38383978</v>
      </c>
      <c r="E104" s="2229">
        <f t="shared" ref="E104:E105" si="73">+E105</f>
        <v>0</v>
      </c>
      <c r="F104" s="2229">
        <f t="shared" ref="F104:H105" si="74">F105</f>
        <v>0</v>
      </c>
      <c r="G104" s="2229">
        <f t="shared" si="74"/>
        <v>35383978</v>
      </c>
      <c r="H104" s="2229">
        <f t="shared" si="74"/>
        <v>3000000</v>
      </c>
      <c r="I104" s="2229"/>
      <c r="J104" s="2229"/>
      <c r="K104" s="2229"/>
      <c r="L104" s="2229"/>
      <c r="M104" s="3693" t="s">
        <v>61</v>
      </c>
      <c r="N104" s="3211" t="s">
        <v>104</v>
      </c>
      <c r="O104" s="563"/>
    </row>
    <row r="105" spans="1:16" s="262" customFormat="1" ht="14.25" customHeight="1">
      <c r="A105" s="3435"/>
      <c r="B105" s="189" t="s">
        <v>18</v>
      </c>
      <c r="C105" s="3692" t="s">
        <v>243</v>
      </c>
      <c r="D105" s="2227">
        <f>+D106</f>
        <v>38383978</v>
      </c>
      <c r="E105" s="3057">
        <f t="shared" si="73"/>
        <v>0</v>
      </c>
      <c r="F105" s="3057">
        <f t="shared" si="74"/>
        <v>0</v>
      </c>
      <c r="G105" s="3057">
        <f t="shared" si="74"/>
        <v>35383978</v>
      </c>
      <c r="H105" s="3057">
        <f t="shared" si="74"/>
        <v>3000000</v>
      </c>
      <c r="I105" s="3057"/>
      <c r="J105" s="3057"/>
      <c r="K105" s="3057"/>
      <c r="L105" s="3057"/>
      <c r="M105" s="3122"/>
      <c r="N105" s="3211"/>
    </row>
    <row r="106" spans="1:16" s="262" customFormat="1" ht="14.25" customHeight="1" thickBot="1">
      <c r="A106" s="3436"/>
      <c r="B106" s="3017" t="s">
        <v>21</v>
      </c>
      <c r="C106" s="3120"/>
      <c r="D106" s="280">
        <f>E106+F106+G106+H106+I106+J106+K106+L106</f>
        <v>38383978</v>
      </c>
      <c r="E106" s="280">
        <v>0</v>
      </c>
      <c r="F106" s="80">
        <f>14000000-13175000-825000</f>
        <v>0</v>
      </c>
      <c r="G106" s="80">
        <f>23383978+11175000+825000</f>
        <v>35383978</v>
      </c>
      <c r="H106" s="80">
        <f>1000000+2000000</f>
        <v>3000000</v>
      </c>
      <c r="I106" s="80"/>
      <c r="J106" s="80"/>
      <c r="K106" s="80"/>
      <c r="L106" s="80"/>
      <c r="M106" s="3123"/>
      <c r="N106" s="3212"/>
    </row>
    <row r="107" spans="1:16" ht="25.5" customHeight="1">
      <c r="A107" s="3434" t="s">
        <v>64</v>
      </c>
      <c r="B107" s="204" t="s">
        <v>585</v>
      </c>
      <c r="C107" s="3007" t="s">
        <v>81</v>
      </c>
      <c r="D107" s="2448"/>
      <c r="E107" s="2808"/>
      <c r="F107" s="2450"/>
      <c r="G107" s="2450"/>
      <c r="H107" s="2450"/>
      <c r="I107" s="2449"/>
      <c r="J107" s="2449"/>
      <c r="K107" s="2449"/>
      <c r="L107" s="2449"/>
      <c r="M107" s="2451"/>
      <c r="N107" s="3264" t="s">
        <v>87</v>
      </c>
    </row>
    <row r="108" spans="1:16" ht="12">
      <c r="A108" s="3441"/>
      <c r="B108" s="358" t="s">
        <v>10</v>
      </c>
      <c r="C108" s="3058"/>
      <c r="D108" s="1132">
        <f>+D109+D111</f>
        <v>16691432</v>
      </c>
      <c r="E108" s="1132">
        <f t="shared" ref="E108" si="75">+E109+E111</f>
        <v>52306</v>
      </c>
      <c r="F108" s="1132">
        <f>+F109+F111</f>
        <v>415000</v>
      </c>
      <c r="G108" s="1132">
        <f>+G109+G111</f>
        <v>16224126</v>
      </c>
      <c r="H108" s="1132"/>
      <c r="I108" s="1132"/>
      <c r="J108" s="1132"/>
      <c r="K108" s="1132"/>
      <c r="L108" s="1132"/>
      <c r="M108" s="2222">
        <f>M109+M111</f>
        <v>16639126</v>
      </c>
      <c r="N108" s="3265"/>
      <c r="O108" s="228"/>
      <c r="P108" s="228"/>
    </row>
    <row r="109" spans="1:16" s="262" customFormat="1" ht="14.25" customHeight="1">
      <c r="A109" s="3441"/>
      <c r="B109" s="1134" t="s">
        <v>24</v>
      </c>
      <c r="C109" s="3658" t="s">
        <v>189</v>
      </c>
      <c r="D109" s="356">
        <f>D110</f>
        <v>2603425</v>
      </c>
      <c r="E109" s="360">
        <f t="shared" ref="E109:G109" si="76">E110</f>
        <v>52306</v>
      </c>
      <c r="F109" s="3059">
        <f t="shared" si="76"/>
        <v>62250</v>
      </c>
      <c r="G109" s="3059">
        <f t="shared" si="76"/>
        <v>2488869</v>
      </c>
      <c r="H109" s="361"/>
      <c r="I109" s="361"/>
      <c r="J109" s="361"/>
      <c r="K109" s="361"/>
      <c r="L109" s="361"/>
      <c r="M109" s="352">
        <f>M110</f>
        <v>2551119</v>
      </c>
      <c r="N109" s="3265"/>
    </row>
    <row r="110" spans="1:16" s="262" customFormat="1" ht="12.75">
      <c r="A110" s="3441"/>
      <c r="B110" s="1135" t="s">
        <v>12</v>
      </c>
      <c r="C110" s="3149"/>
      <c r="D110" s="280">
        <f>E110+F110+G110+H110+I110+J110+K110+L110</f>
        <v>2603425</v>
      </c>
      <c r="E110" s="280">
        <v>52306</v>
      </c>
      <c r="F110" s="355">
        <f>1009016+55696-942462-60000</f>
        <v>62250</v>
      </c>
      <c r="G110" s="355">
        <f>1500949-14542+942462+60000</f>
        <v>2488869</v>
      </c>
      <c r="H110" s="355"/>
      <c r="I110" s="355"/>
      <c r="J110" s="355"/>
      <c r="K110" s="355"/>
      <c r="L110" s="355"/>
      <c r="M110" s="1116">
        <f>SUM(F110:L110)</f>
        <v>2551119</v>
      </c>
      <c r="N110" s="3265"/>
    </row>
    <row r="111" spans="1:16" ht="14.25" customHeight="1">
      <c r="A111" s="3441"/>
      <c r="B111" s="359" t="s">
        <v>18</v>
      </c>
      <c r="C111" s="3149"/>
      <c r="D111" s="356">
        <f>+D112</f>
        <v>14088007</v>
      </c>
      <c r="E111" s="360">
        <f t="shared" ref="E111" si="77">+E112</f>
        <v>0</v>
      </c>
      <c r="F111" s="3059">
        <f>F112</f>
        <v>352750</v>
      </c>
      <c r="G111" s="3059">
        <f>G112</f>
        <v>13735257</v>
      </c>
      <c r="H111" s="361"/>
      <c r="I111" s="361"/>
      <c r="J111" s="361"/>
      <c r="K111" s="361"/>
      <c r="L111" s="361"/>
      <c r="M111" s="3060">
        <f>+M112</f>
        <v>14088007</v>
      </c>
      <c r="N111" s="3265"/>
    </row>
    <row r="112" spans="1:16" ht="12.75">
      <c r="A112" s="3441"/>
      <c r="B112" s="315" t="s">
        <v>21</v>
      </c>
      <c r="C112" s="3124"/>
      <c r="D112" s="280">
        <f>E112+F112+G112+H112+I112+J112+K112+L112</f>
        <v>14088007</v>
      </c>
      <c r="E112" s="280">
        <v>0</v>
      </c>
      <c r="F112" s="355">
        <f>5717756-52724-5057282-255000</f>
        <v>352750</v>
      </c>
      <c r="G112" s="355">
        <f>8505377-82402+5057282+255000</f>
        <v>13735257</v>
      </c>
      <c r="H112" s="355"/>
      <c r="I112" s="355"/>
      <c r="J112" s="355"/>
      <c r="K112" s="355"/>
      <c r="L112" s="355"/>
      <c r="M112" s="1116">
        <f>SUM(F112:L112)</f>
        <v>14088007</v>
      </c>
      <c r="N112" s="3659"/>
    </row>
    <row r="113" spans="1:16" ht="12">
      <c r="A113" s="3441"/>
      <c r="B113" s="21" t="s">
        <v>22</v>
      </c>
      <c r="C113" s="22"/>
      <c r="D113" s="1132">
        <f>+D114</f>
        <v>14088007</v>
      </c>
      <c r="E113" s="1132">
        <f t="shared" ref="E113:E114" si="78">+E114</f>
        <v>0</v>
      </c>
      <c r="F113" s="1132">
        <f t="shared" ref="F113:H114" si="79">F114</f>
        <v>0</v>
      </c>
      <c r="G113" s="1132">
        <f t="shared" si="79"/>
        <v>12088007</v>
      </c>
      <c r="H113" s="1132">
        <f t="shared" si="79"/>
        <v>2000000</v>
      </c>
      <c r="I113" s="1132"/>
      <c r="J113" s="1132"/>
      <c r="K113" s="1132"/>
      <c r="L113" s="1132"/>
      <c r="M113" s="3661"/>
      <c r="N113" s="3211" t="s">
        <v>104</v>
      </c>
    </row>
    <row r="114" spans="1:16" ht="12.75" customHeight="1">
      <c r="A114" s="3441"/>
      <c r="B114" s="189" t="s">
        <v>18</v>
      </c>
      <c r="C114" s="3660" t="s">
        <v>243</v>
      </c>
      <c r="D114" s="356">
        <f>+D115</f>
        <v>14088007</v>
      </c>
      <c r="E114" s="357">
        <f t="shared" si="78"/>
        <v>0</v>
      </c>
      <c r="F114" s="357">
        <f t="shared" si="79"/>
        <v>0</v>
      </c>
      <c r="G114" s="357">
        <f t="shared" si="79"/>
        <v>12088007</v>
      </c>
      <c r="H114" s="357">
        <f t="shared" si="79"/>
        <v>2000000</v>
      </c>
      <c r="I114" s="357"/>
      <c r="J114" s="357"/>
      <c r="K114" s="357"/>
      <c r="L114" s="357"/>
      <c r="M114" s="3662"/>
      <c r="N114" s="3211"/>
    </row>
    <row r="115" spans="1:16" ht="13.5" thickBot="1">
      <c r="A115" s="3664"/>
      <c r="B115" s="3017" t="s">
        <v>21</v>
      </c>
      <c r="C115" s="3120"/>
      <c r="D115" s="280">
        <f>E115+F115+G115+H115+I115+J115+K115+L115</f>
        <v>14088007</v>
      </c>
      <c r="E115" s="280">
        <v>0</v>
      </c>
      <c r="F115" s="80">
        <f>5600000-135126-4889874-575000</f>
        <v>0</v>
      </c>
      <c r="G115" s="80">
        <f>8123133+3389874+575000</f>
        <v>12088007</v>
      </c>
      <c r="H115" s="80">
        <f>500000+1500000</f>
        <v>2000000</v>
      </c>
      <c r="I115" s="80"/>
      <c r="J115" s="80"/>
      <c r="K115" s="80"/>
      <c r="L115" s="80"/>
      <c r="M115" s="3663"/>
      <c r="N115" s="3212"/>
    </row>
    <row r="116" spans="1:16" ht="36">
      <c r="A116" s="3434" t="s">
        <v>65</v>
      </c>
      <c r="B116" s="204" t="s">
        <v>586</v>
      </c>
      <c r="C116" s="3007" t="s">
        <v>81</v>
      </c>
      <c r="D116" s="2448"/>
      <c r="E116" s="2808"/>
      <c r="F116" s="2450"/>
      <c r="G116" s="2450"/>
      <c r="H116" s="2450"/>
      <c r="I116" s="2449"/>
      <c r="J116" s="2449"/>
      <c r="K116" s="2449"/>
      <c r="L116" s="2449"/>
      <c r="M116" s="2451"/>
      <c r="N116" s="3264" t="s">
        <v>87</v>
      </c>
    </row>
    <row r="117" spans="1:16" ht="15" customHeight="1">
      <c r="A117" s="3441"/>
      <c r="B117" s="2932" t="s">
        <v>10</v>
      </c>
      <c r="C117" s="3061"/>
      <c r="D117" s="2934">
        <f>+D118+D120</f>
        <v>6800000</v>
      </c>
      <c r="E117" s="2934">
        <f t="shared" ref="E117" si="80">+E118+E120</f>
        <v>0</v>
      </c>
      <c r="F117" s="2934">
        <f>+F118+F120</f>
        <v>900000</v>
      </c>
      <c r="G117" s="2934">
        <f>+G118+G120</f>
        <v>5900000</v>
      </c>
      <c r="H117" s="2934"/>
      <c r="I117" s="2934"/>
      <c r="J117" s="2934"/>
      <c r="K117" s="2934"/>
      <c r="L117" s="2934"/>
      <c r="M117" s="2935">
        <f>M118+M120</f>
        <v>6800000</v>
      </c>
      <c r="N117" s="3265"/>
      <c r="O117" s="228"/>
      <c r="P117" s="228"/>
    </row>
    <row r="118" spans="1:16" s="262" customFormat="1" ht="14.25" customHeight="1">
      <c r="A118" s="3441"/>
      <c r="B118" s="2936" t="s">
        <v>24</v>
      </c>
      <c r="C118" s="3146" t="s">
        <v>189</v>
      </c>
      <c r="D118" s="2937">
        <f>D119</f>
        <v>1105000</v>
      </c>
      <c r="E118" s="2943">
        <f t="shared" ref="E118:G118" si="81">E119</f>
        <v>0</v>
      </c>
      <c r="F118" s="3062">
        <f t="shared" si="81"/>
        <v>177500</v>
      </c>
      <c r="G118" s="3062">
        <f t="shared" si="81"/>
        <v>927500</v>
      </c>
      <c r="H118" s="2944"/>
      <c r="I118" s="2944"/>
      <c r="J118" s="2944"/>
      <c r="K118" s="2944"/>
      <c r="L118" s="2944"/>
      <c r="M118" s="2938">
        <f>M119</f>
        <v>1105000</v>
      </c>
      <c r="N118" s="3265"/>
    </row>
    <row r="119" spans="1:16" s="262" customFormat="1" ht="12.75">
      <c r="A119" s="3441"/>
      <c r="B119" s="2939" t="s">
        <v>12</v>
      </c>
      <c r="C119" s="3149"/>
      <c r="D119" s="2819">
        <f>E119+F119+G119+H119+I119+J119+K119+L119</f>
        <v>1105000</v>
      </c>
      <c r="E119" s="2819">
        <v>0</v>
      </c>
      <c r="F119" s="2940">
        <f>610000-360000-72500</f>
        <v>177500</v>
      </c>
      <c r="G119" s="2940">
        <f>495000+360000+72500</f>
        <v>927500</v>
      </c>
      <c r="H119" s="2940"/>
      <c r="I119" s="2940"/>
      <c r="J119" s="2940"/>
      <c r="K119" s="2940"/>
      <c r="L119" s="2940"/>
      <c r="M119" s="2941">
        <f>SUM(F119:L119)</f>
        <v>1105000</v>
      </c>
      <c r="N119" s="3265"/>
    </row>
    <row r="120" spans="1:16" ht="12">
      <c r="A120" s="3441"/>
      <c r="B120" s="2942" t="s">
        <v>18</v>
      </c>
      <c r="C120" s="3149"/>
      <c r="D120" s="2937">
        <f>+D121</f>
        <v>5695000</v>
      </c>
      <c r="E120" s="2943">
        <f t="shared" ref="E120" si="82">+E121</f>
        <v>0</v>
      </c>
      <c r="F120" s="3062">
        <f>F121</f>
        <v>722500</v>
      </c>
      <c r="G120" s="3062">
        <f>G121</f>
        <v>4972500</v>
      </c>
      <c r="H120" s="2944"/>
      <c r="I120" s="2944"/>
      <c r="J120" s="2944"/>
      <c r="K120" s="2944"/>
      <c r="L120" s="2944"/>
      <c r="M120" s="3063">
        <f>+M121</f>
        <v>5695000</v>
      </c>
      <c r="N120" s="3265"/>
    </row>
    <row r="121" spans="1:16" ht="12.75">
      <c r="A121" s="3441"/>
      <c r="B121" s="315" t="s">
        <v>21</v>
      </c>
      <c r="C121" s="3124"/>
      <c r="D121" s="2819">
        <f>E121+F121+G121+H121+I121+J121+K121+L121</f>
        <v>5695000</v>
      </c>
      <c r="E121" s="2819">
        <v>0</v>
      </c>
      <c r="F121" s="2940">
        <f>2890000-2040000-127500</f>
        <v>722500</v>
      </c>
      <c r="G121" s="2940">
        <f>2805000+2040000+127500</f>
        <v>4972500</v>
      </c>
      <c r="H121" s="2940"/>
      <c r="I121" s="2940"/>
      <c r="J121" s="2940"/>
      <c r="K121" s="2940"/>
      <c r="L121" s="2940"/>
      <c r="M121" s="2941">
        <f>SUM(F121:L121)</f>
        <v>5695000</v>
      </c>
      <c r="N121" s="3659"/>
    </row>
    <row r="122" spans="1:16" ht="13.5" customHeight="1">
      <c r="A122" s="3441"/>
      <c r="B122" s="826" t="s">
        <v>22</v>
      </c>
      <c r="C122" s="2933"/>
      <c r="D122" s="2934">
        <f>+D123</f>
        <v>5695000</v>
      </c>
      <c r="E122" s="2934">
        <f t="shared" ref="E122:E123" si="83">+E123</f>
        <v>0</v>
      </c>
      <c r="F122" s="2934">
        <f t="shared" ref="F122:H123" si="84">F123</f>
        <v>0</v>
      </c>
      <c r="G122" s="2934">
        <f t="shared" si="84"/>
        <v>5695000</v>
      </c>
      <c r="H122" s="2934">
        <f t="shared" si="84"/>
        <v>0</v>
      </c>
      <c r="I122" s="2934"/>
      <c r="J122" s="2934"/>
      <c r="K122" s="2934"/>
      <c r="L122" s="2934"/>
      <c r="M122" s="3669"/>
      <c r="N122" s="3211" t="s">
        <v>104</v>
      </c>
    </row>
    <row r="123" spans="1:16" ht="12.75" customHeight="1">
      <c r="A123" s="3441"/>
      <c r="B123" s="783" t="s">
        <v>18</v>
      </c>
      <c r="C123" s="3241" t="s">
        <v>243</v>
      </c>
      <c r="D123" s="2937">
        <f>+D124</f>
        <v>5695000</v>
      </c>
      <c r="E123" s="2948">
        <f t="shared" si="83"/>
        <v>0</v>
      </c>
      <c r="F123" s="2948">
        <f t="shared" si="84"/>
        <v>0</v>
      </c>
      <c r="G123" s="2948">
        <f t="shared" si="84"/>
        <v>5695000</v>
      </c>
      <c r="H123" s="2948">
        <f t="shared" si="84"/>
        <v>0</v>
      </c>
      <c r="I123" s="2948"/>
      <c r="J123" s="2948"/>
      <c r="K123" s="2948"/>
      <c r="L123" s="2948"/>
      <c r="M123" s="3662"/>
      <c r="N123" s="3211"/>
    </row>
    <row r="124" spans="1:16" ht="13.5" thickBot="1">
      <c r="A124" s="3664"/>
      <c r="B124" s="3017" t="s">
        <v>21</v>
      </c>
      <c r="C124" s="3120"/>
      <c r="D124" s="1337">
        <f>E124+F124+G124+H124+I124+J124+K124+L124</f>
        <v>5695000</v>
      </c>
      <c r="E124" s="1337">
        <v>0</v>
      </c>
      <c r="F124" s="620">
        <f>2890000-2040000-850000</f>
        <v>0</v>
      </c>
      <c r="G124" s="620">
        <f>2805000+2040000+850000</f>
        <v>5695000</v>
      </c>
      <c r="H124" s="620">
        <v>0</v>
      </c>
      <c r="I124" s="620"/>
      <c r="J124" s="620"/>
      <c r="K124" s="620"/>
      <c r="L124" s="620"/>
      <c r="M124" s="3663"/>
      <c r="N124" s="3212"/>
    </row>
    <row r="125" spans="1:16" ht="24">
      <c r="A125" s="3434" t="s">
        <v>66</v>
      </c>
      <c r="B125" s="204" t="s">
        <v>538</v>
      </c>
      <c r="C125" s="3007" t="s">
        <v>81</v>
      </c>
      <c r="D125" s="2448"/>
      <c r="E125" s="2808"/>
      <c r="F125" s="2450"/>
      <c r="G125" s="2450"/>
      <c r="H125" s="2450"/>
      <c r="I125" s="2449"/>
      <c r="J125" s="2449"/>
      <c r="K125" s="2449"/>
      <c r="L125" s="2449"/>
      <c r="M125" s="2451"/>
      <c r="N125" s="3264" t="s">
        <v>87</v>
      </c>
    </row>
    <row r="126" spans="1:16" ht="16.5" customHeight="1">
      <c r="A126" s="3441"/>
      <c r="B126" s="1410" t="s">
        <v>10</v>
      </c>
      <c r="C126" s="2452"/>
      <c r="D126" s="982">
        <f>+D127+D129</f>
        <v>7500000</v>
      </c>
      <c r="E126" s="982">
        <f t="shared" ref="E126" si="85">+E127+E129</f>
        <v>0</v>
      </c>
      <c r="F126" s="1106">
        <f>+F127+F129</f>
        <v>0</v>
      </c>
      <c r="G126" s="982">
        <f>+G127+G129</f>
        <v>3500000</v>
      </c>
      <c r="H126" s="982">
        <f>+H127+H129</f>
        <v>4000000</v>
      </c>
      <c r="I126" s="982"/>
      <c r="J126" s="982"/>
      <c r="K126" s="982"/>
      <c r="L126" s="982"/>
      <c r="M126" s="1358">
        <f>M127+M129</f>
        <v>7500000</v>
      </c>
      <c r="N126" s="3265"/>
      <c r="O126" s="228"/>
      <c r="P126" s="228"/>
    </row>
    <row r="127" spans="1:16" s="262" customFormat="1" ht="14.25" customHeight="1">
      <c r="A127" s="3441"/>
      <c r="B127" s="1401" t="s">
        <v>24</v>
      </c>
      <c r="C127" s="3106" t="s">
        <v>189</v>
      </c>
      <c r="D127" s="808">
        <f>D128</f>
        <v>1125000</v>
      </c>
      <c r="E127" s="1834">
        <f t="shared" ref="E127:H127" si="86">E128</f>
        <v>0</v>
      </c>
      <c r="F127" s="2453">
        <f t="shared" si="86"/>
        <v>0</v>
      </c>
      <c r="G127" s="1836">
        <f t="shared" si="86"/>
        <v>525000</v>
      </c>
      <c r="H127" s="1836">
        <f t="shared" si="86"/>
        <v>600000</v>
      </c>
      <c r="I127" s="1835"/>
      <c r="J127" s="1835"/>
      <c r="K127" s="1835"/>
      <c r="L127" s="1835"/>
      <c r="M127" s="804">
        <f>M128</f>
        <v>1125000</v>
      </c>
      <c r="N127" s="3265"/>
    </row>
    <row r="128" spans="1:16" s="262" customFormat="1" ht="14.25" customHeight="1">
      <c r="A128" s="3441"/>
      <c r="B128" s="1798" t="s">
        <v>12</v>
      </c>
      <c r="C128" s="3149"/>
      <c r="D128" s="280">
        <f>E128+F128+G128+H128+I128+J128+K128+L128</f>
        <v>1125000</v>
      </c>
      <c r="E128" s="280">
        <v>0</v>
      </c>
      <c r="F128" s="1977">
        <f>225000-225000</f>
        <v>0</v>
      </c>
      <c r="G128" s="1397">
        <f>900000-375000</f>
        <v>525000</v>
      </c>
      <c r="H128" s="1397">
        <v>600000</v>
      </c>
      <c r="I128" s="1397"/>
      <c r="J128" s="1397"/>
      <c r="K128" s="1397"/>
      <c r="L128" s="1397"/>
      <c r="M128" s="1837">
        <f>SUM(F128:L128)</f>
        <v>1125000</v>
      </c>
      <c r="N128" s="3265"/>
    </row>
    <row r="129" spans="1:14" ht="14.25" customHeight="1">
      <c r="A129" s="3441"/>
      <c r="B129" s="1388" t="s">
        <v>18</v>
      </c>
      <c r="C129" s="3149"/>
      <c r="D129" s="808">
        <f>+D130</f>
        <v>6375000</v>
      </c>
      <c r="E129" s="1834">
        <f t="shared" ref="E129" si="87">+E130</f>
        <v>0</v>
      </c>
      <c r="F129" s="2453">
        <f>F130</f>
        <v>0</v>
      </c>
      <c r="G129" s="1836">
        <f>G130</f>
        <v>2975000</v>
      </c>
      <c r="H129" s="1836">
        <f>H130</f>
        <v>3400000</v>
      </c>
      <c r="I129" s="1835"/>
      <c r="J129" s="1835"/>
      <c r="K129" s="1835"/>
      <c r="L129" s="1835"/>
      <c r="M129" s="1441">
        <f>+M130</f>
        <v>6375000</v>
      </c>
      <c r="N129" s="3265"/>
    </row>
    <row r="130" spans="1:14" ht="13.5" customHeight="1">
      <c r="A130" s="3441"/>
      <c r="B130" s="315" t="s">
        <v>21</v>
      </c>
      <c r="C130" s="3124"/>
      <c r="D130" s="280">
        <f>E130+F130+G130+H130+I130+J130+K130+L130</f>
        <v>6375000</v>
      </c>
      <c r="E130" s="280">
        <v>0</v>
      </c>
      <c r="F130" s="1977">
        <f>1275000-1275000</f>
        <v>0</v>
      </c>
      <c r="G130" s="1397">
        <f>5100000-2125000</f>
        <v>2975000</v>
      </c>
      <c r="H130" s="1397">
        <v>3400000</v>
      </c>
      <c r="I130" s="1397"/>
      <c r="J130" s="1397"/>
      <c r="K130" s="1397"/>
      <c r="L130" s="1397"/>
      <c r="M130" s="1837">
        <f>SUM(F130:L130)</f>
        <v>6375000</v>
      </c>
      <c r="N130" s="3659"/>
    </row>
    <row r="131" spans="1:14" ht="15.75" customHeight="1">
      <c r="A131" s="3441"/>
      <c r="B131" s="826" t="s">
        <v>22</v>
      </c>
      <c r="C131" s="1105"/>
      <c r="D131" s="982">
        <f>+D132</f>
        <v>6375000</v>
      </c>
      <c r="E131" s="982">
        <f t="shared" ref="E131:E132" si="88">+E132</f>
        <v>0</v>
      </c>
      <c r="F131" s="1106">
        <f t="shared" ref="F131:H132" si="89">F132</f>
        <v>0</v>
      </c>
      <c r="G131" s="982">
        <f t="shared" si="89"/>
        <v>1800000</v>
      </c>
      <c r="H131" s="982">
        <f t="shared" si="89"/>
        <v>4575000</v>
      </c>
      <c r="I131" s="982"/>
      <c r="J131" s="982"/>
      <c r="K131" s="982"/>
      <c r="L131" s="982"/>
      <c r="M131" s="3665"/>
      <c r="N131" s="3211" t="s">
        <v>104</v>
      </c>
    </row>
    <row r="132" spans="1:14" ht="17.25" customHeight="1">
      <c r="A132" s="3441"/>
      <c r="B132" s="783" t="s">
        <v>18</v>
      </c>
      <c r="C132" s="3172" t="s">
        <v>243</v>
      </c>
      <c r="D132" s="808">
        <f>+D133</f>
        <v>6375000</v>
      </c>
      <c r="E132" s="1364">
        <f t="shared" si="88"/>
        <v>0</v>
      </c>
      <c r="F132" s="1392">
        <f t="shared" si="89"/>
        <v>0</v>
      </c>
      <c r="G132" s="1364">
        <f t="shared" si="89"/>
        <v>1800000</v>
      </c>
      <c r="H132" s="1364">
        <f t="shared" si="89"/>
        <v>4575000</v>
      </c>
      <c r="I132" s="1364"/>
      <c r="J132" s="1364"/>
      <c r="K132" s="1364"/>
      <c r="L132" s="1364"/>
      <c r="M132" s="3662"/>
      <c r="N132" s="3211"/>
    </row>
    <row r="133" spans="1:14" ht="17.25" customHeight="1" thickBot="1">
      <c r="A133" s="3664"/>
      <c r="B133" s="3017" t="s">
        <v>21</v>
      </c>
      <c r="C133" s="3120"/>
      <c r="D133" s="280">
        <f>E133+F133+G133+H133+I133+J133+K133+L133</f>
        <v>6375000</v>
      </c>
      <c r="E133" s="280">
        <v>0</v>
      </c>
      <c r="F133" s="1393">
        <v>0</v>
      </c>
      <c r="G133" s="620">
        <v>1800000</v>
      </c>
      <c r="H133" s="620">
        <v>4575000</v>
      </c>
      <c r="I133" s="620"/>
      <c r="J133" s="620"/>
      <c r="K133" s="620"/>
      <c r="L133" s="620"/>
      <c r="M133" s="3663"/>
      <c r="N133" s="3212"/>
    </row>
    <row r="134" spans="1:14" s="262" customFormat="1" ht="41.25" customHeight="1">
      <c r="A134" s="3434" t="s">
        <v>67</v>
      </c>
      <c r="B134" s="204" t="s">
        <v>354</v>
      </c>
      <c r="C134" s="3007" t="s">
        <v>81</v>
      </c>
      <c r="D134" s="1119"/>
      <c r="E134" s="2809"/>
      <c r="F134" s="1121"/>
      <c r="G134" s="1121"/>
      <c r="H134" s="1121"/>
      <c r="I134" s="1120"/>
      <c r="J134" s="1120"/>
      <c r="K134" s="1120"/>
      <c r="L134" s="1120"/>
      <c r="M134" s="1122"/>
      <c r="N134" s="622"/>
    </row>
    <row r="135" spans="1:14" s="262" customFormat="1" ht="14.25" customHeight="1">
      <c r="A135" s="3435"/>
      <c r="B135" s="358" t="s">
        <v>10</v>
      </c>
      <c r="C135" s="22"/>
      <c r="D135" s="1132">
        <f t="shared" ref="D135" si="90">+D138+D136</f>
        <v>10907395</v>
      </c>
      <c r="E135" s="1132">
        <f t="shared" ref="E135" si="91">+E138+E136</f>
        <v>0</v>
      </c>
      <c r="F135" s="1132">
        <f>+F138+F136</f>
        <v>4287110</v>
      </c>
      <c r="G135" s="1132">
        <f t="shared" ref="G135:L135" si="92">+G138+G136</f>
        <v>6620285</v>
      </c>
      <c r="H135" s="1132">
        <f t="shared" si="92"/>
        <v>0</v>
      </c>
      <c r="I135" s="1132">
        <f t="shared" si="92"/>
        <v>0</v>
      </c>
      <c r="J135" s="1132">
        <f t="shared" si="92"/>
        <v>0</v>
      </c>
      <c r="K135" s="1132">
        <f t="shared" si="92"/>
        <v>0</v>
      </c>
      <c r="L135" s="1132">
        <f t="shared" si="92"/>
        <v>0</v>
      </c>
      <c r="M135" s="354">
        <f>+M138+M136</f>
        <v>10907395</v>
      </c>
      <c r="N135" s="3265" t="s">
        <v>428</v>
      </c>
    </row>
    <row r="136" spans="1:14" s="262" customFormat="1" ht="14.25" customHeight="1">
      <c r="A136" s="3435"/>
      <c r="B136" s="1134" t="s">
        <v>24</v>
      </c>
      <c r="C136" s="3658" t="s">
        <v>189</v>
      </c>
      <c r="D136" s="356">
        <f>D137</f>
        <v>1636110</v>
      </c>
      <c r="E136" s="360">
        <f t="shared" ref="E136:I136" si="93">E137</f>
        <v>0</v>
      </c>
      <c r="F136" s="361">
        <f t="shared" si="93"/>
        <v>643067</v>
      </c>
      <c r="G136" s="361">
        <f t="shared" si="93"/>
        <v>993043</v>
      </c>
      <c r="H136" s="361">
        <f t="shared" si="93"/>
        <v>0</v>
      </c>
      <c r="I136" s="361">
        <f t="shared" si="93"/>
        <v>0</v>
      </c>
      <c r="J136" s="361"/>
      <c r="K136" s="361"/>
      <c r="L136" s="361"/>
      <c r="M136" s="352">
        <f>M137</f>
        <v>1636110</v>
      </c>
      <c r="N136" s="3265"/>
    </row>
    <row r="137" spans="1:14" s="262" customFormat="1" ht="14.25" customHeight="1">
      <c r="A137" s="3435"/>
      <c r="B137" s="1135" t="s">
        <v>12</v>
      </c>
      <c r="C137" s="3149"/>
      <c r="D137" s="280">
        <f>E137+F137+G137+H137+I137+J137+K137+L137</f>
        <v>1636110</v>
      </c>
      <c r="E137" s="280">
        <v>0</v>
      </c>
      <c r="F137" s="2454">
        <f>1140368-497301</f>
        <v>643067</v>
      </c>
      <c r="G137" s="2454">
        <f>1140367-147324</f>
        <v>993043</v>
      </c>
      <c r="H137" s="355">
        <v>0</v>
      </c>
      <c r="I137" s="355">
        <v>0</v>
      </c>
      <c r="J137" s="355">
        <v>0</v>
      </c>
      <c r="K137" s="355">
        <v>0</v>
      </c>
      <c r="L137" s="355">
        <v>0</v>
      </c>
      <c r="M137" s="1116">
        <f>SUM(F137:L137)</f>
        <v>1636110</v>
      </c>
      <c r="N137" s="3265"/>
    </row>
    <row r="138" spans="1:14" s="262" customFormat="1" ht="14.25" customHeight="1">
      <c r="A138" s="3435"/>
      <c r="B138" s="359" t="s">
        <v>18</v>
      </c>
      <c r="C138" s="3149"/>
      <c r="D138" s="356">
        <f>D139</f>
        <v>9271285</v>
      </c>
      <c r="E138" s="356">
        <f t="shared" ref="E138:L138" si="94">E139</f>
        <v>0</v>
      </c>
      <c r="F138" s="356">
        <f t="shared" si="94"/>
        <v>3644043</v>
      </c>
      <c r="G138" s="356">
        <f t="shared" si="94"/>
        <v>5627242</v>
      </c>
      <c r="H138" s="356">
        <f t="shared" si="94"/>
        <v>0</v>
      </c>
      <c r="I138" s="356">
        <f t="shared" si="94"/>
        <v>0</v>
      </c>
      <c r="J138" s="356">
        <f t="shared" si="94"/>
        <v>0</v>
      </c>
      <c r="K138" s="356">
        <f t="shared" si="94"/>
        <v>0</v>
      </c>
      <c r="L138" s="356">
        <f t="shared" si="94"/>
        <v>0</v>
      </c>
      <c r="M138" s="352">
        <f>+M139</f>
        <v>9271285</v>
      </c>
      <c r="N138" s="3265"/>
    </row>
    <row r="139" spans="1:14" s="262" customFormat="1" ht="15" customHeight="1">
      <c r="A139" s="3435"/>
      <c r="B139" s="315" t="s">
        <v>21</v>
      </c>
      <c r="C139" s="3124"/>
      <c r="D139" s="280">
        <f>E139+F139+G139+H139+I139+J139+K139+L139</f>
        <v>9271285</v>
      </c>
      <c r="E139" s="280">
        <v>0</v>
      </c>
      <c r="F139" s="355">
        <f>6462083-2818040</f>
        <v>3644043</v>
      </c>
      <c r="G139" s="355">
        <f>6462084-834842</f>
        <v>5627242</v>
      </c>
      <c r="H139" s="355">
        <v>0</v>
      </c>
      <c r="I139" s="355">
        <v>0</v>
      </c>
      <c r="J139" s="355">
        <v>0</v>
      </c>
      <c r="K139" s="355">
        <v>0</v>
      </c>
      <c r="L139" s="355">
        <v>0</v>
      </c>
      <c r="M139" s="1116">
        <f>SUM(F139:L139)</f>
        <v>9271285</v>
      </c>
      <c r="N139" s="3659"/>
    </row>
    <row r="140" spans="1:14" s="262" customFormat="1" ht="15.75" customHeight="1">
      <c r="A140" s="3435"/>
      <c r="B140" s="21" t="s">
        <v>22</v>
      </c>
      <c r="C140" s="22"/>
      <c r="D140" s="1132">
        <f t="shared" ref="D140:L141" si="95">D141</f>
        <v>9271285</v>
      </c>
      <c r="E140" s="1132">
        <f t="shared" ref="E140:E141" si="96">+E141</f>
        <v>0</v>
      </c>
      <c r="F140" s="1132">
        <f t="shared" si="95"/>
        <v>3644043</v>
      </c>
      <c r="G140" s="1132">
        <f t="shared" si="95"/>
        <v>5627242</v>
      </c>
      <c r="H140" s="1132">
        <f t="shared" si="95"/>
        <v>0</v>
      </c>
      <c r="I140" s="1132">
        <f t="shared" si="95"/>
        <v>0</v>
      </c>
      <c r="J140" s="1132">
        <f t="shared" si="95"/>
        <v>0</v>
      </c>
      <c r="K140" s="1132">
        <f t="shared" si="95"/>
        <v>0</v>
      </c>
      <c r="L140" s="1132">
        <f t="shared" si="95"/>
        <v>0</v>
      </c>
      <c r="M140" s="3666" t="s">
        <v>61</v>
      </c>
      <c r="N140" s="3194" t="s">
        <v>353</v>
      </c>
    </row>
    <row r="141" spans="1:14" s="262" customFormat="1" ht="15" customHeight="1">
      <c r="A141" s="3435"/>
      <c r="B141" s="189" t="s">
        <v>18</v>
      </c>
      <c r="C141" s="3660" t="s">
        <v>243</v>
      </c>
      <c r="D141" s="357">
        <f t="shared" si="95"/>
        <v>9271285</v>
      </c>
      <c r="E141" s="357">
        <f t="shared" si="96"/>
        <v>0</v>
      </c>
      <c r="F141" s="357">
        <f t="shared" si="95"/>
        <v>3644043</v>
      </c>
      <c r="G141" s="357">
        <f t="shared" si="95"/>
        <v>5627242</v>
      </c>
      <c r="H141" s="357">
        <f t="shared" si="95"/>
        <v>0</v>
      </c>
      <c r="I141" s="357">
        <f t="shared" si="95"/>
        <v>0</v>
      </c>
      <c r="J141" s="357">
        <f t="shared" si="95"/>
        <v>0</v>
      </c>
      <c r="K141" s="357">
        <f t="shared" si="95"/>
        <v>0</v>
      </c>
      <c r="L141" s="357">
        <f t="shared" si="95"/>
        <v>0</v>
      </c>
      <c r="M141" s="3122"/>
      <c r="N141" s="3159"/>
    </row>
    <row r="142" spans="1:14" s="262" customFormat="1" ht="15" customHeight="1" thickBot="1">
      <c r="A142" s="3436"/>
      <c r="B142" s="3017" t="s">
        <v>21</v>
      </c>
      <c r="C142" s="3120"/>
      <c r="D142" s="280">
        <f>E142+F142+G142+H142+I142+J142+K142+L142</f>
        <v>9271285</v>
      </c>
      <c r="E142" s="280">
        <v>0</v>
      </c>
      <c r="F142" s="80">
        <f>6462083-2818040</f>
        <v>3644043</v>
      </c>
      <c r="G142" s="80">
        <f>6462084-834842</f>
        <v>5627242</v>
      </c>
      <c r="H142" s="80">
        <v>0</v>
      </c>
      <c r="I142" s="80">
        <v>0</v>
      </c>
      <c r="J142" s="80">
        <v>0</v>
      </c>
      <c r="K142" s="80">
        <v>0</v>
      </c>
      <c r="L142" s="80">
        <v>0</v>
      </c>
      <c r="M142" s="3123"/>
      <c r="N142" s="3160"/>
    </row>
    <row r="143" spans="1:14" s="262" customFormat="1" ht="36">
      <c r="A143" s="3441" t="s">
        <v>117</v>
      </c>
      <c r="B143" s="204" t="s">
        <v>460</v>
      </c>
      <c r="C143" s="3007" t="s">
        <v>191</v>
      </c>
      <c r="D143" s="1119"/>
      <c r="E143" s="2809"/>
      <c r="F143" s="1121"/>
      <c r="G143" s="1121"/>
      <c r="H143" s="1121"/>
      <c r="I143" s="1120"/>
      <c r="J143" s="1120"/>
      <c r="K143" s="1120"/>
      <c r="L143" s="1120"/>
      <c r="M143" s="1122"/>
      <c r="N143" s="3264" t="s">
        <v>427</v>
      </c>
    </row>
    <row r="144" spans="1:14" s="262" customFormat="1" ht="15" customHeight="1">
      <c r="A144" s="3435"/>
      <c r="B144" s="31" t="s">
        <v>10</v>
      </c>
      <c r="C144" s="22"/>
      <c r="D144" s="224">
        <f>D145+D147</f>
        <v>119600</v>
      </c>
      <c r="E144" s="224">
        <f t="shared" ref="E144" si="97">E145+E147</f>
        <v>0</v>
      </c>
      <c r="F144" s="1261">
        <f t="shared" ref="F144:L144" si="98">+F147</f>
        <v>0</v>
      </c>
      <c r="G144" s="224">
        <f>G145+G149</f>
        <v>119600</v>
      </c>
      <c r="H144" s="224">
        <f t="shared" si="98"/>
        <v>0</v>
      </c>
      <c r="I144" s="224">
        <f t="shared" si="98"/>
        <v>0</v>
      </c>
      <c r="J144" s="224">
        <f t="shared" si="98"/>
        <v>0</v>
      </c>
      <c r="K144" s="224">
        <f t="shared" si="98"/>
        <v>0</v>
      </c>
      <c r="L144" s="224">
        <f t="shared" si="98"/>
        <v>0</v>
      </c>
      <c r="M144" s="71">
        <f>+M147+M145</f>
        <v>119600</v>
      </c>
      <c r="N144" s="3265"/>
    </row>
    <row r="145" spans="1:15" s="262" customFormat="1" ht="15" customHeight="1">
      <c r="A145" s="3435"/>
      <c r="B145" s="1134" t="s">
        <v>24</v>
      </c>
      <c r="C145" s="3658" t="s">
        <v>240</v>
      </c>
      <c r="D145" s="356">
        <f>D146</f>
        <v>17940</v>
      </c>
      <c r="E145" s="360">
        <f t="shared" ref="E145:F145" si="99">E146</f>
        <v>0</v>
      </c>
      <c r="F145" s="1978">
        <f t="shared" si="99"/>
        <v>0</v>
      </c>
      <c r="G145" s="361">
        <f>G146</f>
        <v>17940</v>
      </c>
      <c r="H145" s="361">
        <v>0</v>
      </c>
      <c r="I145" s="361">
        <v>0</v>
      </c>
      <c r="J145" s="361">
        <v>0</v>
      </c>
      <c r="K145" s="361">
        <v>0</v>
      </c>
      <c r="L145" s="361">
        <v>0</v>
      </c>
      <c r="M145" s="352">
        <f>M146</f>
        <v>17940</v>
      </c>
      <c r="N145" s="3265"/>
    </row>
    <row r="146" spans="1:15" s="262" customFormat="1" ht="15" customHeight="1">
      <c r="A146" s="3435"/>
      <c r="B146" s="1135" t="s">
        <v>12</v>
      </c>
      <c r="C146" s="3149"/>
      <c r="D146" s="280">
        <f>E146+F146+G146+H146+I146+J146+K146+L146</f>
        <v>17940</v>
      </c>
      <c r="E146" s="280">
        <v>0</v>
      </c>
      <c r="F146" s="1979">
        <v>0</v>
      </c>
      <c r="G146" s="355">
        <v>17940</v>
      </c>
      <c r="H146" s="355">
        <v>0</v>
      </c>
      <c r="I146" s="355">
        <v>0</v>
      </c>
      <c r="J146" s="355">
        <v>0</v>
      </c>
      <c r="K146" s="355">
        <v>0</v>
      </c>
      <c r="L146" s="355">
        <v>0</v>
      </c>
      <c r="M146" s="1116">
        <f>SUM(F146:L146)</f>
        <v>17940</v>
      </c>
      <c r="N146" s="3265"/>
    </row>
    <row r="147" spans="1:15" s="262" customFormat="1" ht="15" customHeight="1">
      <c r="A147" s="3435"/>
      <c r="B147" s="797" t="s">
        <v>18</v>
      </c>
      <c r="C147" s="3149"/>
      <c r="D147" s="53">
        <f>D148</f>
        <v>101660</v>
      </c>
      <c r="E147" s="114">
        <f t="shared" ref="E147:M147" si="100">+E148</f>
        <v>0</v>
      </c>
      <c r="F147" s="1980">
        <v>0</v>
      </c>
      <c r="G147" s="115">
        <f>G148</f>
        <v>101660</v>
      </c>
      <c r="H147" s="115">
        <v>0</v>
      </c>
      <c r="I147" s="115">
        <v>0</v>
      </c>
      <c r="J147" s="115">
        <v>0</v>
      </c>
      <c r="K147" s="115">
        <v>0</v>
      </c>
      <c r="L147" s="115">
        <v>0</v>
      </c>
      <c r="M147" s="88">
        <f t="shared" si="100"/>
        <v>101660</v>
      </c>
      <c r="N147" s="3265"/>
    </row>
    <row r="148" spans="1:15" s="262" customFormat="1" ht="15" customHeight="1">
      <c r="A148" s="3435"/>
      <c r="B148" s="315" t="s">
        <v>21</v>
      </c>
      <c r="C148" s="3124"/>
      <c r="D148" s="280">
        <f>E148+F148+G148+H148+I148+J148+K148+L148</f>
        <v>101660</v>
      </c>
      <c r="E148" s="280">
        <v>0</v>
      </c>
      <c r="F148" s="1981">
        <v>0</v>
      </c>
      <c r="G148" s="56">
        <v>101660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1116">
        <f>SUM(F148:L148)</f>
        <v>101660</v>
      </c>
      <c r="N148" s="3659"/>
    </row>
    <row r="149" spans="1:15" s="262" customFormat="1" ht="15" customHeight="1">
      <c r="A149" s="3435"/>
      <c r="B149" s="21" t="s">
        <v>22</v>
      </c>
      <c r="C149" s="22"/>
      <c r="D149" s="224">
        <f t="shared" ref="D149:L150" si="101">D150</f>
        <v>101660</v>
      </c>
      <c r="E149" s="224">
        <f t="shared" ref="E149:E150" si="102">+E150</f>
        <v>0</v>
      </c>
      <c r="F149" s="1261">
        <f t="shared" si="101"/>
        <v>0</v>
      </c>
      <c r="G149" s="224">
        <f t="shared" si="101"/>
        <v>101660</v>
      </c>
      <c r="H149" s="224">
        <f t="shared" si="101"/>
        <v>0</v>
      </c>
      <c r="I149" s="224">
        <f t="shared" si="101"/>
        <v>0</v>
      </c>
      <c r="J149" s="224">
        <f t="shared" si="101"/>
        <v>0</v>
      </c>
      <c r="K149" s="224">
        <f t="shared" si="101"/>
        <v>0</v>
      </c>
      <c r="L149" s="224">
        <f t="shared" si="101"/>
        <v>0</v>
      </c>
      <c r="M149" s="3121" t="s">
        <v>61</v>
      </c>
      <c r="N149" s="3265" t="s">
        <v>249</v>
      </c>
    </row>
    <row r="150" spans="1:15" s="262" customFormat="1" ht="15" customHeight="1">
      <c r="A150" s="3435"/>
      <c r="B150" s="189" t="s">
        <v>18</v>
      </c>
      <c r="C150" s="3236" t="s">
        <v>243</v>
      </c>
      <c r="D150" s="54">
        <f t="shared" si="101"/>
        <v>101660</v>
      </c>
      <c r="E150" s="54">
        <f t="shared" si="102"/>
        <v>0</v>
      </c>
      <c r="F150" s="322">
        <f t="shared" si="101"/>
        <v>0</v>
      </c>
      <c r="G150" s="54">
        <f t="shared" si="101"/>
        <v>101660</v>
      </c>
      <c r="H150" s="54">
        <f t="shared" si="101"/>
        <v>0</v>
      </c>
      <c r="I150" s="54">
        <f t="shared" si="101"/>
        <v>0</v>
      </c>
      <c r="J150" s="54">
        <f t="shared" si="101"/>
        <v>0</v>
      </c>
      <c r="K150" s="54">
        <f t="shared" si="101"/>
        <v>0</v>
      </c>
      <c r="L150" s="54">
        <f t="shared" si="101"/>
        <v>0</v>
      </c>
      <c r="M150" s="3122"/>
      <c r="N150" s="3265"/>
    </row>
    <row r="151" spans="1:15" s="262" customFormat="1" ht="15" customHeight="1" thickBot="1">
      <c r="A151" s="3436"/>
      <c r="B151" s="3017" t="s">
        <v>21</v>
      </c>
      <c r="C151" s="3120"/>
      <c r="D151" s="280">
        <f>E151+F151+G151+H151+I151+J151+K151+L151</f>
        <v>101660</v>
      </c>
      <c r="E151" s="280">
        <v>0</v>
      </c>
      <c r="F151" s="323">
        <v>0</v>
      </c>
      <c r="G151" s="80">
        <v>101660</v>
      </c>
      <c r="H151" s="80">
        <v>0</v>
      </c>
      <c r="I151" s="80">
        <v>0</v>
      </c>
      <c r="J151" s="80">
        <v>0</v>
      </c>
      <c r="K151" s="80">
        <v>0</v>
      </c>
      <c r="L151" s="80">
        <v>0</v>
      </c>
      <c r="M151" s="3123"/>
      <c r="N151" s="3266"/>
    </row>
    <row r="152" spans="1:15" s="262" customFormat="1" ht="39.75" customHeight="1">
      <c r="A152" s="3434" t="s">
        <v>88</v>
      </c>
      <c r="B152" s="204" t="s">
        <v>539</v>
      </c>
      <c r="C152" s="3007" t="s">
        <v>81</v>
      </c>
      <c r="D152" s="1119"/>
      <c r="E152" s="2809"/>
      <c r="F152" s="1121"/>
      <c r="G152" s="1121"/>
      <c r="H152" s="1121"/>
      <c r="I152" s="1120"/>
      <c r="J152" s="1120"/>
      <c r="K152" s="1120"/>
      <c r="L152" s="1120"/>
      <c r="M152" s="1122"/>
      <c r="N152" s="3264" t="s">
        <v>427</v>
      </c>
    </row>
    <row r="153" spans="1:15" s="262" customFormat="1" ht="15" customHeight="1">
      <c r="A153" s="3435"/>
      <c r="B153" s="2932" t="s">
        <v>10</v>
      </c>
      <c r="C153" s="2933"/>
      <c r="D153" s="2934">
        <f t="shared" ref="D153" si="103">D154+D157</f>
        <v>13955532</v>
      </c>
      <c r="E153" s="2934">
        <f t="shared" ref="E153" si="104">E154+E157</f>
        <v>250844</v>
      </c>
      <c r="F153" s="2934">
        <f>F154+F157</f>
        <v>3247416</v>
      </c>
      <c r="G153" s="2934">
        <f>G154+G157</f>
        <v>10457272</v>
      </c>
      <c r="H153" s="2934">
        <f>+H157</f>
        <v>0</v>
      </c>
      <c r="I153" s="2934">
        <f>+I157</f>
        <v>0</v>
      </c>
      <c r="J153" s="2934">
        <f>+J157</f>
        <v>0</v>
      </c>
      <c r="K153" s="2934">
        <f>+K157</f>
        <v>0</v>
      </c>
      <c r="L153" s="2934">
        <f>+L157</f>
        <v>0</v>
      </c>
      <c r="M153" s="2935">
        <f>M154+M157</f>
        <v>13704688</v>
      </c>
      <c r="N153" s="3265"/>
    </row>
    <row r="154" spans="1:15" s="262" customFormat="1" ht="15" customHeight="1">
      <c r="A154" s="3435"/>
      <c r="B154" s="2936" t="s">
        <v>24</v>
      </c>
      <c r="C154" s="3146" t="s">
        <v>240</v>
      </c>
      <c r="D154" s="2937">
        <f>D155+D156</f>
        <v>2093329</v>
      </c>
      <c r="E154" s="2937">
        <f t="shared" ref="E154" si="105">E155+E156</f>
        <v>250844</v>
      </c>
      <c r="F154" s="2937">
        <f t="shared" ref="F154:L154" si="106">F155+F156</f>
        <v>487112</v>
      </c>
      <c r="G154" s="2937">
        <f t="shared" si="106"/>
        <v>1355373</v>
      </c>
      <c r="H154" s="2937">
        <f t="shared" si="106"/>
        <v>0</v>
      </c>
      <c r="I154" s="2937">
        <f t="shared" si="106"/>
        <v>0</v>
      </c>
      <c r="J154" s="2937">
        <f t="shared" si="106"/>
        <v>0</v>
      </c>
      <c r="K154" s="2937">
        <f t="shared" si="106"/>
        <v>0</v>
      </c>
      <c r="L154" s="2937">
        <f t="shared" si="106"/>
        <v>0</v>
      </c>
      <c r="M154" s="2938">
        <f>M155+M156</f>
        <v>1842485</v>
      </c>
      <c r="N154" s="3265"/>
    </row>
    <row r="155" spans="1:15" s="262" customFormat="1" ht="15" customHeight="1">
      <c r="A155" s="3435"/>
      <c r="B155" s="2939" t="s">
        <v>12</v>
      </c>
      <c r="C155" s="3149"/>
      <c r="D155" s="2819">
        <f>E155+F155+G155+H155+I155+J155+K155+L155</f>
        <v>1093329</v>
      </c>
      <c r="E155" s="2819">
        <v>250844</v>
      </c>
      <c r="F155" s="2940">
        <f>430112+57000-100000</f>
        <v>387112</v>
      </c>
      <c r="G155" s="2940">
        <f>1568662-213289-900000</f>
        <v>455373</v>
      </c>
      <c r="H155" s="2940">
        <v>0</v>
      </c>
      <c r="I155" s="2940">
        <v>0</v>
      </c>
      <c r="J155" s="2940">
        <v>0</v>
      </c>
      <c r="K155" s="2940">
        <v>0</v>
      </c>
      <c r="L155" s="2940">
        <v>0</v>
      </c>
      <c r="M155" s="2941">
        <f>SUM(F155:L155)</f>
        <v>842485</v>
      </c>
      <c r="N155" s="3265"/>
      <c r="O155" s="2130"/>
    </row>
    <row r="156" spans="1:15" s="262" customFormat="1" ht="15" customHeight="1">
      <c r="A156" s="3435"/>
      <c r="B156" s="2939" t="s">
        <v>62</v>
      </c>
      <c r="C156" s="3149"/>
      <c r="D156" s="2819">
        <f>E156+F156+G156+H156+I156+J156+K156+L156</f>
        <v>1000000</v>
      </c>
      <c r="E156" s="2819">
        <v>0</v>
      </c>
      <c r="F156" s="2940">
        <v>100000</v>
      </c>
      <c r="G156" s="2940">
        <v>900000</v>
      </c>
      <c r="H156" s="2940">
        <v>0</v>
      </c>
      <c r="I156" s="2940">
        <v>0</v>
      </c>
      <c r="J156" s="2940">
        <v>0</v>
      </c>
      <c r="K156" s="2940">
        <v>0</v>
      </c>
      <c r="L156" s="2940">
        <v>0</v>
      </c>
      <c r="M156" s="2941">
        <f>SUM(F156:L156)</f>
        <v>1000000</v>
      </c>
      <c r="N156" s="3265"/>
      <c r="O156" s="2130"/>
    </row>
    <row r="157" spans="1:15" s="262" customFormat="1" ht="15" customHeight="1">
      <c r="A157" s="3435"/>
      <c r="B157" s="2942" t="s">
        <v>18</v>
      </c>
      <c r="C157" s="3149"/>
      <c r="D157" s="2937">
        <f>D158</f>
        <v>11862203</v>
      </c>
      <c r="E157" s="2943">
        <f t="shared" ref="E157:M157" si="107">+E158</f>
        <v>0</v>
      </c>
      <c r="F157" s="2944">
        <f>F158</f>
        <v>2760304</v>
      </c>
      <c r="G157" s="2944">
        <f>G158</f>
        <v>9101899</v>
      </c>
      <c r="H157" s="2944">
        <v>0</v>
      </c>
      <c r="I157" s="2944">
        <v>0</v>
      </c>
      <c r="J157" s="2944">
        <v>0</v>
      </c>
      <c r="K157" s="2944">
        <v>0</v>
      </c>
      <c r="L157" s="2944">
        <v>0</v>
      </c>
      <c r="M157" s="2938">
        <f t="shared" si="107"/>
        <v>11862203</v>
      </c>
      <c r="N157" s="3265"/>
    </row>
    <row r="158" spans="1:15" s="262" customFormat="1" ht="15" customHeight="1">
      <c r="A158" s="3435"/>
      <c r="B158" s="315" t="s">
        <v>21</v>
      </c>
      <c r="C158" s="3124"/>
      <c r="D158" s="2819">
        <f>E158+F158+G158+H158+I158+J158+K158+L158</f>
        <v>11862203</v>
      </c>
      <c r="E158" s="2819">
        <v>0</v>
      </c>
      <c r="F158" s="2940">
        <f>2437304+323000</f>
        <v>2760304</v>
      </c>
      <c r="G158" s="2940">
        <f>8889087+212812</f>
        <v>9101899</v>
      </c>
      <c r="H158" s="2940">
        <v>0</v>
      </c>
      <c r="I158" s="2940">
        <v>0</v>
      </c>
      <c r="J158" s="2940">
        <v>0</v>
      </c>
      <c r="K158" s="2940">
        <v>0</v>
      </c>
      <c r="L158" s="2940">
        <v>0</v>
      </c>
      <c r="M158" s="2941">
        <f>SUM(F158:L158)</f>
        <v>11862203</v>
      </c>
      <c r="N158" s="3659"/>
    </row>
    <row r="159" spans="1:15" s="262" customFormat="1" ht="15" customHeight="1">
      <c r="A159" s="3435"/>
      <c r="B159" s="826" t="s">
        <v>22</v>
      </c>
      <c r="C159" s="2933"/>
      <c r="D159" s="2934">
        <f>D162+D160</f>
        <v>12862203</v>
      </c>
      <c r="E159" s="2934">
        <f>E162+E160</f>
        <v>0</v>
      </c>
      <c r="F159" s="2934">
        <f>F162+F160</f>
        <v>2860304</v>
      </c>
      <c r="G159" s="2934">
        <f>G162+G160</f>
        <v>10001899</v>
      </c>
      <c r="H159" s="2934">
        <f>H162</f>
        <v>0</v>
      </c>
      <c r="I159" s="2934">
        <f>I162</f>
        <v>0</v>
      </c>
      <c r="J159" s="2934">
        <f>J162</f>
        <v>0</v>
      </c>
      <c r="K159" s="2934">
        <f>K162</f>
        <v>0</v>
      </c>
      <c r="L159" s="2934">
        <f>L162</f>
        <v>0</v>
      </c>
      <c r="M159" s="3195" t="s">
        <v>61</v>
      </c>
      <c r="N159" s="3265" t="s">
        <v>249</v>
      </c>
    </row>
    <row r="160" spans="1:15" s="262" customFormat="1" ht="15" customHeight="1">
      <c r="A160" s="3435"/>
      <c r="B160" s="2888" t="s">
        <v>11</v>
      </c>
      <c r="C160" s="3701" t="s">
        <v>523</v>
      </c>
      <c r="D160" s="2945">
        <f>SUM(E160:L160)</f>
        <v>1000000</v>
      </c>
      <c r="E160" s="2945">
        <f>E161</f>
        <v>0</v>
      </c>
      <c r="F160" s="2945">
        <f>F161</f>
        <v>100000</v>
      </c>
      <c r="G160" s="2945">
        <f>G161</f>
        <v>900000</v>
      </c>
      <c r="H160" s="2945"/>
      <c r="I160" s="2945"/>
      <c r="J160" s="2945"/>
      <c r="K160" s="2945"/>
      <c r="L160" s="2945"/>
      <c r="M160" s="3122"/>
      <c r="N160" s="3265"/>
    </row>
    <row r="161" spans="1:14" s="262" customFormat="1" ht="15" customHeight="1">
      <c r="A161" s="3435"/>
      <c r="B161" s="2946" t="s">
        <v>62</v>
      </c>
      <c r="C161" s="3702"/>
      <c r="D161" s="2819">
        <f>E161+F161+G161+H161+I161+J161+K161+L161</f>
        <v>1000000</v>
      </c>
      <c r="E161" s="2819">
        <v>0</v>
      </c>
      <c r="F161" s="2947">
        <v>100000</v>
      </c>
      <c r="G161" s="2947">
        <v>900000</v>
      </c>
      <c r="H161" s="2945"/>
      <c r="I161" s="2945"/>
      <c r="J161" s="2945"/>
      <c r="K161" s="2945"/>
      <c r="L161" s="2945"/>
      <c r="M161" s="3122"/>
      <c r="N161" s="3265"/>
    </row>
    <row r="162" spans="1:14" s="262" customFormat="1" ht="15" customHeight="1">
      <c r="A162" s="3435"/>
      <c r="B162" s="2888" t="s">
        <v>18</v>
      </c>
      <c r="C162" s="3702"/>
      <c r="D162" s="2948">
        <f t="shared" ref="D162:L162" si="108">D163</f>
        <v>11862203</v>
      </c>
      <c r="E162" s="2948">
        <f t="shared" ref="E162" si="109">+E163</f>
        <v>0</v>
      </c>
      <c r="F162" s="2948">
        <f t="shared" si="108"/>
        <v>2760304</v>
      </c>
      <c r="G162" s="2948">
        <f t="shared" si="108"/>
        <v>9101899</v>
      </c>
      <c r="H162" s="2948">
        <f t="shared" si="108"/>
        <v>0</v>
      </c>
      <c r="I162" s="2948">
        <f t="shared" si="108"/>
        <v>0</v>
      </c>
      <c r="J162" s="2948">
        <f t="shared" si="108"/>
        <v>0</v>
      </c>
      <c r="K162" s="2948">
        <f t="shared" si="108"/>
        <v>0</v>
      </c>
      <c r="L162" s="2948">
        <f t="shared" si="108"/>
        <v>0</v>
      </c>
      <c r="M162" s="3122"/>
      <c r="N162" s="3265"/>
    </row>
    <row r="163" spans="1:14" s="262" customFormat="1" ht="15" customHeight="1" thickBot="1">
      <c r="A163" s="3436"/>
      <c r="B163" s="3017" t="s">
        <v>21</v>
      </c>
      <c r="C163" s="3703"/>
      <c r="D163" s="1337">
        <f>E163+F163+G163+H163+I163+J163+K163+L163</f>
        <v>11862203</v>
      </c>
      <c r="E163" s="1337">
        <v>0</v>
      </c>
      <c r="F163" s="620">
        <f>2437304+323000</f>
        <v>2760304</v>
      </c>
      <c r="G163" s="620">
        <f>8889087+212812</f>
        <v>9101899</v>
      </c>
      <c r="H163" s="620">
        <v>0</v>
      </c>
      <c r="I163" s="620">
        <v>0</v>
      </c>
      <c r="J163" s="620">
        <v>0</v>
      </c>
      <c r="K163" s="620">
        <v>0</v>
      </c>
      <c r="L163" s="620">
        <v>0</v>
      </c>
      <c r="M163" s="3123"/>
      <c r="N163" s="3266"/>
    </row>
    <row r="164" spans="1:14" s="262" customFormat="1" ht="45" customHeight="1">
      <c r="A164" s="3441" t="s">
        <v>89</v>
      </c>
      <c r="B164" s="2930" t="s">
        <v>455</v>
      </c>
      <c r="C164" s="293" t="s">
        <v>191</v>
      </c>
      <c r="D164" s="1142"/>
      <c r="E164" s="2931"/>
      <c r="F164" s="1144"/>
      <c r="G164" s="1144"/>
      <c r="H164" s="1144"/>
      <c r="I164" s="1143"/>
      <c r="J164" s="1143"/>
      <c r="K164" s="1143"/>
      <c r="L164" s="1143"/>
      <c r="M164" s="1145"/>
      <c r="N164" s="3265" t="s">
        <v>441</v>
      </c>
    </row>
    <row r="165" spans="1:14" s="262" customFormat="1" ht="15" customHeight="1">
      <c r="A165" s="3435"/>
      <c r="B165" s="1410" t="s">
        <v>10</v>
      </c>
      <c r="C165" s="1105"/>
      <c r="D165" s="982">
        <f>D166+D170</f>
        <v>342701</v>
      </c>
      <c r="E165" s="982">
        <f t="shared" ref="E165" si="110">E166+E170</f>
        <v>0</v>
      </c>
      <c r="F165" s="982">
        <f>F166+F170</f>
        <v>32411</v>
      </c>
      <c r="G165" s="982">
        <f>G166+G170</f>
        <v>65928</v>
      </c>
      <c r="H165" s="982">
        <f>H166+H170</f>
        <v>244362</v>
      </c>
      <c r="I165" s="982">
        <f>+I170</f>
        <v>0</v>
      </c>
      <c r="J165" s="982">
        <f>+J170</f>
        <v>0</v>
      </c>
      <c r="K165" s="982">
        <f>+K170</f>
        <v>0</v>
      </c>
      <c r="L165" s="982">
        <f>+L170</f>
        <v>0</v>
      </c>
      <c r="M165" s="2014">
        <f>M166+M170</f>
        <v>342701</v>
      </c>
      <c r="N165" s="3265"/>
    </row>
    <row r="166" spans="1:14" s="262" customFormat="1" ht="15" customHeight="1">
      <c r="A166" s="3435"/>
      <c r="B166" s="1401" t="s">
        <v>24</v>
      </c>
      <c r="C166" s="3106" t="s">
        <v>435</v>
      </c>
      <c r="D166" s="808">
        <f>D167</f>
        <v>51406</v>
      </c>
      <c r="E166" s="1834">
        <f t="shared" ref="E166:H166" si="111">E167</f>
        <v>0</v>
      </c>
      <c r="F166" s="1835">
        <f t="shared" si="111"/>
        <v>4861</v>
      </c>
      <c r="G166" s="1835">
        <f t="shared" si="111"/>
        <v>9889</v>
      </c>
      <c r="H166" s="1835">
        <f t="shared" si="111"/>
        <v>36656</v>
      </c>
      <c r="I166" s="1835">
        <v>0</v>
      </c>
      <c r="J166" s="1835">
        <v>0</v>
      </c>
      <c r="K166" s="1835">
        <v>0</v>
      </c>
      <c r="L166" s="1835">
        <v>0</v>
      </c>
      <c r="M166" s="804">
        <f>M167</f>
        <v>51406</v>
      </c>
      <c r="N166" s="3265"/>
    </row>
    <row r="167" spans="1:14" s="262" customFormat="1" ht="15" customHeight="1">
      <c r="A167" s="3435"/>
      <c r="B167" s="1798" t="s">
        <v>12</v>
      </c>
      <c r="C167" s="3149"/>
      <c r="D167" s="280">
        <f>E167+F167+G167+H167+I167+J167+K167+L167</f>
        <v>51406</v>
      </c>
      <c r="E167" s="280">
        <v>0</v>
      </c>
      <c r="F167" s="1397">
        <v>4861</v>
      </c>
      <c r="G167" s="1397">
        <v>9889</v>
      </c>
      <c r="H167" s="1397">
        <f>36655+1</f>
        <v>36656</v>
      </c>
      <c r="I167" s="1397">
        <v>0</v>
      </c>
      <c r="J167" s="1397">
        <v>0</v>
      </c>
      <c r="K167" s="1397">
        <v>0</v>
      </c>
      <c r="L167" s="1397">
        <v>0</v>
      </c>
      <c r="M167" s="2026">
        <f>SUM(F167:L167)</f>
        <v>51406</v>
      </c>
      <c r="N167" s="3265"/>
    </row>
    <row r="168" spans="1:14" s="262" customFormat="1" ht="15" hidden="1" customHeight="1">
      <c r="A168" s="3435"/>
      <c r="B168" s="1910" t="s">
        <v>447</v>
      </c>
      <c r="C168" s="3149"/>
      <c r="D168" s="1345"/>
      <c r="E168" s="2810"/>
      <c r="F168" s="1913">
        <v>3347</v>
      </c>
      <c r="G168" s="1913">
        <v>8073</v>
      </c>
      <c r="H168" s="1913">
        <v>34839</v>
      </c>
      <c r="I168" s="1397"/>
      <c r="J168" s="1397"/>
      <c r="K168" s="1397"/>
      <c r="L168" s="1397"/>
      <c r="M168" s="1912"/>
      <c r="N168" s="3265"/>
    </row>
    <row r="169" spans="1:14" s="262" customFormat="1" ht="15" hidden="1" customHeight="1">
      <c r="A169" s="3435"/>
      <c r="B169" s="1910" t="s">
        <v>448</v>
      </c>
      <c r="C169" s="3149"/>
      <c r="D169" s="1345"/>
      <c r="E169" s="2810"/>
      <c r="F169" s="1913">
        <v>1514</v>
      </c>
      <c r="G169" s="1913">
        <v>1816</v>
      </c>
      <c r="H169" s="1913">
        <v>1816</v>
      </c>
      <c r="I169" s="1397"/>
      <c r="J169" s="1397"/>
      <c r="K169" s="1397"/>
      <c r="L169" s="1397"/>
      <c r="M169" s="1912"/>
      <c r="N169" s="3265"/>
    </row>
    <row r="170" spans="1:14" s="262" customFormat="1" ht="15" customHeight="1">
      <c r="A170" s="3435"/>
      <c r="B170" s="1388" t="s">
        <v>18</v>
      </c>
      <c r="C170" s="3149"/>
      <c r="D170" s="808">
        <f>D171</f>
        <v>291295</v>
      </c>
      <c r="E170" s="1834">
        <f t="shared" ref="E170:M170" si="112">+E171</f>
        <v>0</v>
      </c>
      <c r="F170" s="1835">
        <f t="shared" ref="F170:H170" si="113">F171</f>
        <v>27550</v>
      </c>
      <c r="G170" s="1835">
        <f t="shared" si="113"/>
        <v>56039</v>
      </c>
      <c r="H170" s="1835">
        <f t="shared" si="113"/>
        <v>207706</v>
      </c>
      <c r="I170" s="1835">
        <v>0</v>
      </c>
      <c r="J170" s="1835">
        <v>0</v>
      </c>
      <c r="K170" s="1835">
        <v>0</v>
      </c>
      <c r="L170" s="1835">
        <v>0</v>
      </c>
      <c r="M170" s="804">
        <f t="shared" si="112"/>
        <v>291295</v>
      </c>
      <c r="N170" s="3265"/>
    </row>
    <row r="171" spans="1:14" s="262" customFormat="1" ht="15" customHeight="1">
      <c r="A171" s="3435"/>
      <c r="B171" s="315" t="s">
        <v>21</v>
      </c>
      <c r="C171" s="3149"/>
      <c r="D171" s="280">
        <f>E171+F171+G171+H171+I171+J171+K171+L171</f>
        <v>291295</v>
      </c>
      <c r="E171" s="280">
        <v>0</v>
      </c>
      <c r="F171" s="1397">
        <f>27549+1</f>
        <v>27550</v>
      </c>
      <c r="G171" s="1397">
        <v>56039</v>
      </c>
      <c r="H171" s="1397">
        <f>207707-1</f>
        <v>207706</v>
      </c>
      <c r="I171" s="1397">
        <v>0</v>
      </c>
      <c r="J171" s="1397">
        <v>0</v>
      </c>
      <c r="K171" s="1397">
        <v>0</v>
      </c>
      <c r="L171" s="1397">
        <v>0</v>
      </c>
      <c r="M171" s="2026">
        <f>SUM(F171:L171)</f>
        <v>291295</v>
      </c>
      <c r="N171" s="3265"/>
    </row>
    <row r="172" spans="1:14" s="262" customFormat="1" ht="15" hidden="1" customHeight="1">
      <c r="A172" s="3435"/>
      <c r="B172" s="1910" t="s">
        <v>450</v>
      </c>
      <c r="C172" s="3149"/>
      <c r="D172" s="1345"/>
      <c r="E172" s="1975"/>
      <c r="F172" s="1913">
        <v>18973</v>
      </c>
      <c r="G172" s="1913">
        <v>45747</v>
      </c>
      <c r="H172" s="1913">
        <v>197415</v>
      </c>
      <c r="I172" s="1397"/>
      <c r="J172" s="1397"/>
      <c r="K172" s="1397"/>
      <c r="L172" s="1397"/>
      <c r="M172" s="1914"/>
      <c r="N172" s="3265"/>
    </row>
    <row r="173" spans="1:14" s="262" customFormat="1" ht="15" hidden="1" customHeight="1">
      <c r="A173" s="3435"/>
      <c r="B173" s="1910" t="s">
        <v>449</v>
      </c>
      <c r="C173" s="3124"/>
      <c r="D173" s="1345"/>
      <c r="E173" s="1975"/>
      <c r="F173" s="1913">
        <v>8576</v>
      </c>
      <c r="G173" s="1913">
        <v>10292</v>
      </c>
      <c r="H173" s="1913">
        <v>10292</v>
      </c>
      <c r="I173" s="1397"/>
      <c r="J173" s="1397"/>
      <c r="K173" s="1397"/>
      <c r="L173" s="1397"/>
      <c r="M173" s="1914"/>
      <c r="N173" s="3265"/>
    </row>
    <row r="174" spans="1:14" s="262" customFormat="1" ht="15" customHeight="1">
      <c r="A174" s="3435"/>
      <c r="B174" s="826" t="s">
        <v>22</v>
      </c>
      <c r="C174" s="1105"/>
      <c r="D174" s="982">
        <f t="shared" ref="D174:L175" si="114">D175</f>
        <v>291295</v>
      </c>
      <c r="E174" s="982">
        <f t="shared" ref="E174:E175" si="115">+E175</f>
        <v>0</v>
      </c>
      <c r="F174" s="982">
        <f t="shared" si="114"/>
        <v>2133</v>
      </c>
      <c r="G174" s="982">
        <f t="shared" si="114"/>
        <v>39145</v>
      </c>
      <c r="H174" s="982">
        <f t="shared" si="114"/>
        <v>148930</v>
      </c>
      <c r="I174" s="982">
        <f t="shared" si="114"/>
        <v>101087</v>
      </c>
      <c r="J174" s="982">
        <f t="shared" si="114"/>
        <v>0</v>
      </c>
      <c r="K174" s="982">
        <f t="shared" si="114"/>
        <v>0</v>
      </c>
      <c r="L174" s="982">
        <f t="shared" si="114"/>
        <v>0</v>
      </c>
      <c r="M174" s="3187" t="s">
        <v>61</v>
      </c>
      <c r="N174" s="3265"/>
    </row>
    <row r="175" spans="1:14" s="262" customFormat="1" ht="15" customHeight="1">
      <c r="A175" s="3435"/>
      <c r="B175" s="783" t="s">
        <v>18</v>
      </c>
      <c r="C175" s="3172" t="s">
        <v>189</v>
      </c>
      <c r="D175" s="2020">
        <f t="shared" si="114"/>
        <v>291295</v>
      </c>
      <c r="E175" s="2020">
        <f t="shared" si="115"/>
        <v>0</v>
      </c>
      <c r="F175" s="2020">
        <f t="shared" si="114"/>
        <v>2133</v>
      </c>
      <c r="G175" s="2020">
        <f t="shared" si="114"/>
        <v>39145</v>
      </c>
      <c r="H175" s="2020">
        <f t="shared" si="114"/>
        <v>148930</v>
      </c>
      <c r="I175" s="2020">
        <f t="shared" si="114"/>
        <v>101087</v>
      </c>
      <c r="J175" s="2020">
        <f t="shared" si="114"/>
        <v>0</v>
      </c>
      <c r="K175" s="2020">
        <f t="shared" si="114"/>
        <v>0</v>
      </c>
      <c r="L175" s="2020">
        <f t="shared" si="114"/>
        <v>0</v>
      </c>
      <c r="M175" s="3122"/>
      <c r="N175" s="3265"/>
    </row>
    <row r="176" spans="1:14" s="262" customFormat="1" ht="15" customHeight="1" thickBot="1">
      <c r="A176" s="3436"/>
      <c r="B176" s="3017" t="s">
        <v>21</v>
      </c>
      <c r="C176" s="3120"/>
      <c r="D176" s="280">
        <f>E176+F176+G176+H176+I176+J176+K176+L176</f>
        <v>291295</v>
      </c>
      <c r="E176" s="280">
        <v>0</v>
      </c>
      <c r="F176" s="620">
        <v>2133</v>
      </c>
      <c r="G176" s="620">
        <v>39145</v>
      </c>
      <c r="H176" s="620">
        <v>148930</v>
      </c>
      <c r="I176" s="620">
        <v>101087</v>
      </c>
      <c r="J176" s="620">
        <v>0</v>
      </c>
      <c r="K176" s="620">
        <v>0</v>
      </c>
      <c r="L176" s="620">
        <v>0</v>
      </c>
      <c r="M176" s="3123"/>
      <c r="N176" s="3266"/>
    </row>
    <row r="177" spans="1:15" s="262" customFormat="1" ht="54" customHeight="1">
      <c r="A177" s="3441" t="s">
        <v>90</v>
      </c>
      <c r="B177" s="204" t="s">
        <v>454</v>
      </c>
      <c r="C177" s="3007" t="s">
        <v>81</v>
      </c>
      <c r="D177" s="1119"/>
      <c r="E177" s="2809"/>
      <c r="F177" s="1121"/>
      <c r="G177" s="1121"/>
      <c r="H177" s="1121"/>
      <c r="I177" s="1120"/>
      <c r="J177" s="1120"/>
      <c r="K177" s="1120"/>
      <c r="L177" s="1120"/>
      <c r="M177" s="1122"/>
      <c r="N177" s="3264" t="s">
        <v>249</v>
      </c>
    </row>
    <row r="178" spans="1:15" s="262" customFormat="1" ht="15" customHeight="1">
      <c r="A178" s="3435"/>
      <c r="B178" s="31" t="s">
        <v>10</v>
      </c>
      <c r="C178" s="22"/>
      <c r="D178" s="224">
        <f>D179+D181</f>
        <v>329300</v>
      </c>
      <c r="E178" s="224">
        <f t="shared" ref="E178" si="116">E179+E181</f>
        <v>0</v>
      </c>
      <c r="F178" s="224">
        <f>F179+F181</f>
        <v>55400</v>
      </c>
      <c r="G178" s="224">
        <f>G179+G181</f>
        <v>246900</v>
      </c>
      <c r="H178" s="224">
        <f>H179+H181</f>
        <v>27000</v>
      </c>
      <c r="I178" s="224">
        <f>+I181</f>
        <v>0</v>
      </c>
      <c r="J178" s="224">
        <f>+J181</f>
        <v>0</v>
      </c>
      <c r="K178" s="224">
        <f>+K181</f>
        <v>0</v>
      </c>
      <c r="L178" s="224">
        <f>+L181</f>
        <v>0</v>
      </c>
      <c r="M178" s="71">
        <f>M179+M181</f>
        <v>329300</v>
      </c>
      <c r="N178" s="3265"/>
    </row>
    <row r="179" spans="1:15" s="262" customFormat="1" ht="15" customHeight="1">
      <c r="A179" s="3435"/>
      <c r="B179" s="1134" t="s">
        <v>24</v>
      </c>
      <c r="C179" s="3106" t="s">
        <v>189</v>
      </c>
      <c r="D179" s="356">
        <f>D180</f>
        <v>49395</v>
      </c>
      <c r="E179" s="360">
        <f t="shared" ref="E179:L179" si="117">E180</f>
        <v>0</v>
      </c>
      <c r="F179" s="361">
        <f t="shared" si="117"/>
        <v>8310</v>
      </c>
      <c r="G179" s="361">
        <f t="shared" si="117"/>
        <v>37035</v>
      </c>
      <c r="H179" s="361">
        <f t="shared" si="117"/>
        <v>4050</v>
      </c>
      <c r="I179" s="361">
        <f t="shared" si="117"/>
        <v>0</v>
      </c>
      <c r="J179" s="361">
        <f t="shared" si="117"/>
        <v>0</v>
      </c>
      <c r="K179" s="361">
        <f t="shared" si="117"/>
        <v>0</v>
      </c>
      <c r="L179" s="361">
        <f t="shared" si="117"/>
        <v>0</v>
      </c>
      <c r="M179" s="352">
        <f>M180</f>
        <v>49395</v>
      </c>
      <c r="N179" s="3265"/>
    </row>
    <row r="180" spans="1:15" s="262" customFormat="1" ht="15" customHeight="1">
      <c r="A180" s="3435"/>
      <c r="B180" s="1135" t="s">
        <v>12</v>
      </c>
      <c r="C180" s="3149"/>
      <c r="D180" s="280">
        <f>E180+F180+G180+H180+I180+J180+K180+L180</f>
        <v>49395</v>
      </c>
      <c r="E180" s="280">
        <v>0</v>
      </c>
      <c r="F180" s="355">
        <v>8310</v>
      </c>
      <c r="G180" s="355">
        <v>37035</v>
      </c>
      <c r="H180" s="355">
        <v>4050</v>
      </c>
      <c r="I180" s="355">
        <v>0</v>
      </c>
      <c r="J180" s="355">
        <v>0</v>
      </c>
      <c r="K180" s="355">
        <v>0</v>
      </c>
      <c r="L180" s="355">
        <v>0</v>
      </c>
      <c r="M180" s="1116">
        <f>SUM(F180:L180)</f>
        <v>49395</v>
      </c>
      <c r="N180" s="3265"/>
    </row>
    <row r="181" spans="1:15" s="262" customFormat="1" ht="15" customHeight="1">
      <c r="A181" s="3435"/>
      <c r="B181" s="797" t="s">
        <v>18</v>
      </c>
      <c r="C181" s="3149"/>
      <c r="D181" s="53">
        <f>D182</f>
        <v>279905</v>
      </c>
      <c r="E181" s="114">
        <f t="shared" ref="E181:M181" si="118">+E182</f>
        <v>0</v>
      </c>
      <c r="F181" s="115">
        <f t="shared" ref="F181:H181" si="119">F182</f>
        <v>47090</v>
      </c>
      <c r="G181" s="115">
        <f t="shared" si="119"/>
        <v>209865</v>
      </c>
      <c r="H181" s="115">
        <f t="shared" si="119"/>
        <v>22950</v>
      </c>
      <c r="I181" s="115">
        <f t="shared" ref="I181:L181" si="120">I182</f>
        <v>0</v>
      </c>
      <c r="J181" s="115">
        <f t="shared" si="120"/>
        <v>0</v>
      </c>
      <c r="K181" s="115">
        <f t="shared" si="120"/>
        <v>0</v>
      </c>
      <c r="L181" s="115">
        <f t="shared" si="120"/>
        <v>0</v>
      </c>
      <c r="M181" s="88">
        <f t="shared" si="118"/>
        <v>279905</v>
      </c>
      <c r="N181" s="3265"/>
    </row>
    <row r="182" spans="1:15" s="262" customFormat="1" ht="15" customHeight="1">
      <c r="A182" s="3435"/>
      <c r="B182" s="315" t="s">
        <v>21</v>
      </c>
      <c r="C182" s="3124"/>
      <c r="D182" s="280">
        <f>E182+F182+G182+H182+I182+J182+K182+L182</f>
        <v>279905</v>
      </c>
      <c r="E182" s="280">
        <v>0</v>
      </c>
      <c r="F182" s="56">
        <v>47090</v>
      </c>
      <c r="G182" s="56">
        <v>209865</v>
      </c>
      <c r="H182" s="56">
        <v>22950</v>
      </c>
      <c r="I182" s="56">
        <v>0</v>
      </c>
      <c r="J182" s="56">
        <v>0</v>
      </c>
      <c r="K182" s="56">
        <v>0</v>
      </c>
      <c r="L182" s="56">
        <v>0</v>
      </c>
      <c r="M182" s="1116">
        <f>SUM(F182:L182)</f>
        <v>279905</v>
      </c>
      <c r="N182" s="3265"/>
    </row>
    <row r="183" spans="1:15" s="262" customFormat="1" ht="15" customHeight="1">
      <c r="A183" s="3435"/>
      <c r="B183" s="21" t="s">
        <v>22</v>
      </c>
      <c r="C183" s="22"/>
      <c r="D183" s="224">
        <f t="shared" ref="D183:L184" si="121">D184</f>
        <v>279905</v>
      </c>
      <c r="E183" s="224">
        <f t="shared" ref="E183:E184" si="122">+E184</f>
        <v>0</v>
      </c>
      <c r="F183" s="224">
        <f t="shared" si="121"/>
        <v>0</v>
      </c>
      <c r="G183" s="224">
        <f t="shared" si="121"/>
        <v>73100</v>
      </c>
      <c r="H183" s="224">
        <f t="shared" si="121"/>
        <v>183855</v>
      </c>
      <c r="I183" s="224">
        <f t="shared" si="121"/>
        <v>22950</v>
      </c>
      <c r="J183" s="224">
        <f t="shared" si="121"/>
        <v>0</v>
      </c>
      <c r="K183" s="224">
        <f t="shared" si="121"/>
        <v>0</v>
      </c>
      <c r="L183" s="224">
        <f t="shared" si="121"/>
        <v>0</v>
      </c>
      <c r="M183" s="3121" t="s">
        <v>61</v>
      </c>
      <c r="N183" s="3265"/>
    </row>
    <row r="184" spans="1:15" s="262" customFormat="1" ht="15" customHeight="1">
      <c r="A184" s="3435"/>
      <c r="B184" s="189" t="s">
        <v>18</v>
      </c>
      <c r="C184" s="3172" t="s">
        <v>189</v>
      </c>
      <c r="D184" s="54">
        <f t="shared" si="121"/>
        <v>279905</v>
      </c>
      <c r="E184" s="1364">
        <f t="shared" si="122"/>
        <v>0</v>
      </c>
      <c r="F184" s="54">
        <f t="shared" si="121"/>
        <v>0</v>
      </c>
      <c r="G184" s="54">
        <f t="shared" si="121"/>
        <v>73100</v>
      </c>
      <c r="H184" s="54">
        <f t="shared" si="121"/>
        <v>183855</v>
      </c>
      <c r="I184" s="54">
        <f t="shared" si="121"/>
        <v>22950</v>
      </c>
      <c r="J184" s="54">
        <f t="shared" si="121"/>
        <v>0</v>
      </c>
      <c r="K184" s="54">
        <f t="shared" si="121"/>
        <v>0</v>
      </c>
      <c r="L184" s="54">
        <f t="shared" si="121"/>
        <v>0</v>
      </c>
      <c r="M184" s="3122"/>
      <c r="N184" s="3265"/>
    </row>
    <row r="185" spans="1:15" s="262" customFormat="1" ht="15" customHeight="1" thickBot="1">
      <c r="A185" s="3436"/>
      <c r="B185" s="3017" t="s">
        <v>21</v>
      </c>
      <c r="C185" s="3120"/>
      <c r="D185" s="280">
        <f>E185+F185+G185+H185+I185+J185+K185+L185</f>
        <v>279905</v>
      </c>
      <c r="E185" s="280">
        <v>0</v>
      </c>
      <c r="F185" s="80"/>
      <c r="G185" s="80">
        <v>73100</v>
      </c>
      <c r="H185" s="80">
        <v>183855</v>
      </c>
      <c r="I185" s="80">
        <v>22950</v>
      </c>
      <c r="J185" s="80">
        <v>0</v>
      </c>
      <c r="K185" s="80">
        <v>0</v>
      </c>
      <c r="L185" s="80">
        <v>0</v>
      </c>
      <c r="M185" s="3123"/>
      <c r="N185" s="3266"/>
    </row>
    <row r="186" spans="1:15" s="262" customFormat="1" ht="42" customHeight="1">
      <c r="A186" s="3441" t="s">
        <v>91</v>
      </c>
      <c r="B186" s="204" t="s">
        <v>453</v>
      </c>
      <c r="C186" s="3007" t="s">
        <v>191</v>
      </c>
      <c r="D186" s="1119"/>
      <c r="E186" s="2809"/>
      <c r="F186" s="1121"/>
      <c r="G186" s="1121"/>
      <c r="H186" s="1121"/>
      <c r="I186" s="1120"/>
      <c r="J186" s="1120"/>
      <c r="K186" s="1120"/>
      <c r="L186" s="1120"/>
      <c r="M186" s="1122"/>
      <c r="N186" s="3264" t="s">
        <v>441</v>
      </c>
      <c r="O186" s="262" t="s">
        <v>442</v>
      </c>
    </row>
    <row r="187" spans="1:15" s="262" customFormat="1" ht="15" customHeight="1">
      <c r="A187" s="3435"/>
      <c r="B187" s="31" t="s">
        <v>10</v>
      </c>
      <c r="C187" s="22"/>
      <c r="D187" s="224">
        <f>D188+D192</f>
        <v>693012</v>
      </c>
      <c r="E187" s="224">
        <f t="shared" ref="E187" si="123">E188+E192</f>
        <v>0</v>
      </c>
      <c r="F187" s="224">
        <f>F188+F192</f>
        <v>172756</v>
      </c>
      <c r="G187" s="224">
        <f>G188+G192</f>
        <v>244256</v>
      </c>
      <c r="H187" s="224">
        <f>H188+H192</f>
        <v>276000</v>
      </c>
      <c r="I187" s="224">
        <f>+I192</f>
        <v>0</v>
      </c>
      <c r="J187" s="224">
        <f>+J192</f>
        <v>0</v>
      </c>
      <c r="K187" s="224">
        <f>+K192</f>
        <v>0</v>
      </c>
      <c r="L187" s="224">
        <f>+L192</f>
        <v>0</v>
      </c>
      <c r="M187" s="71">
        <f>M188+M192</f>
        <v>693012</v>
      </c>
      <c r="N187" s="3265"/>
    </row>
    <row r="188" spans="1:15" s="262" customFormat="1" ht="15" customHeight="1">
      <c r="A188" s="3435"/>
      <c r="B188" s="1134" t="s">
        <v>24</v>
      </c>
      <c r="C188" s="3106" t="s">
        <v>435</v>
      </c>
      <c r="D188" s="356">
        <f>D189</f>
        <v>119262</v>
      </c>
      <c r="E188" s="360">
        <f t="shared" ref="E188:H188" si="124">E189</f>
        <v>0</v>
      </c>
      <c r="F188" s="361">
        <f t="shared" si="124"/>
        <v>33569</v>
      </c>
      <c r="G188" s="361">
        <f t="shared" si="124"/>
        <v>44293</v>
      </c>
      <c r="H188" s="361">
        <f t="shared" si="124"/>
        <v>41400</v>
      </c>
      <c r="I188" s="361">
        <v>0</v>
      </c>
      <c r="J188" s="361">
        <v>0</v>
      </c>
      <c r="K188" s="361">
        <v>0</v>
      </c>
      <c r="L188" s="361">
        <v>0</v>
      </c>
      <c r="M188" s="352">
        <f>M189</f>
        <v>119262</v>
      </c>
      <c r="N188" s="3265"/>
    </row>
    <row r="189" spans="1:15" s="262" customFormat="1" ht="15" customHeight="1">
      <c r="A189" s="3435"/>
      <c r="B189" s="1135" t="s">
        <v>12</v>
      </c>
      <c r="C189" s="3149"/>
      <c r="D189" s="280">
        <f>E189+F189+G189+H189+I189+J189+K189+L189</f>
        <v>119262</v>
      </c>
      <c r="E189" s="280">
        <v>0</v>
      </c>
      <c r="F189" s="355">
        <v>33569</v>
      </c>
      <c r="G189" s="355">
        <v>44293</v>
      </c>
      <c r="H189" s="355">
        <v>41400</v>
      </c>
      <c r="I189" s="355">
        <v>0</v>
      </c>
      <c r="J189" s="355">
        <v>0</v>
      </c>
      <c r="K189" s="355">
        <v>0</v>
      </c>
      <c r="L189" s="355">
        <v>0</v>
      </c>
      <c r="M189" s="1116">
        <f>SUM(F189:L189)</f>
        <v>119262</v>
      </c>
      <c r="N189" s="3265"/>
    </row>
    <row r="190" spans="1:15" s="262" customFormat="1" ht="15" hidden="1" customHeight="1">
      <c r="A190" s="3435"/>
      <c r="B190" s="1910" t="s">
        <v>448</v>
      </c>
      <c r="C190" s="3149"/>
      <c r="D190" s="280">
        <f t="shared" ref="D190:D191" si="125">E190+F190+G190+H190+I190+J190+K190+L190</f>
        <v>5385</v>
      </c>
      <c r="E190" s="2810"/>
      <c r="F190" s="1911">
        <f>1500+258+37</f>
        <v>1795</v>
      </c>
      <c r="G190" s="1911">
        <f>1500+258+37</f>
        <v>1795</v>
      </c>
      <c r="H190" s="1911">
        <f>1500+258+37</f>
        <v>1795</v>
      </c>
      <c r="I190" s="1397"/>
      <c r="J190" s="1397"/>
      <c r="K190" s="1397"/>
      <c r="L190" s="1397"/>
      <c r="M190" s="1912"/>
      <c r="N190" s="3265"/>
    </row>
    <row r="191" spans="1:15" s="262" customFormat="1" ht="15" hidden="1" customHeight="1">
      <c r="A191" s="3435"/>
      <c r="B191" s="1910" t="s">
        <v>447</v>
      </c>
      <c r="C191" s="3149"/>
      <c r="D191" s="280">
        <f t="shared" si="125"/>
        <v>113877</v>
      </c>
      <c r="E191" s="2810"/>
      <c r="F191" s="1911">
        <f>29862+1010+900</f>
        <v>31772</v>
      </c>
      <c r="G191" s="1911">
        <f>37887+3262+1350</f>
        <v>42499</v>
      </c>
      <c r="H191" s="1911">
        <f>36006+900+2700</f>
        <v>39606</v>
      </c>
      <c r="I191" s="1397"/>
      <c r="J191" s="1397"/>
      <c r="K191" s="1397"/>
      <c r="L191" s="1397"/>
      <c r="M191" s="1912"/>
      <c r="N191" s="3265"/>
    </row>
    <row r="192" spans="1:15" s="262" customFormat="1" ht="15" customHeight="1">
      <c r="A192" s="3435"/>
      <c r="B192" s="797" t="s">
        <v>18</v>
      </c>
      <c r="C192" s="3149"/>
      <c r="D192" s="53">
        <f>D193</f>
        <v>573750</v>
      </c>
      <c r="E192" s="114">
        <f t="shared" ref="E192:M192" si="126">+E193</f>
        <v>0</v>
      </c>
      <c r="F192" s="115">
        <f t="shared" ref="F192:H192" si="127">F193</f>
        <v>139187</v>
      </c>
      <c r="G192" s="115">
        <f t="shared" si="127"/>
        <v>199963</v>
      </c>
      <c r="H192" s="115">
        <f t="shared" si="127"/>
        <v>234600</v>
      </c>
      <c r="I192" s="115">
        <v>0</v>
      </c>
      <c r="J192" s="115">
        <v>0</v>
      </c>
      <c r="K192" s="115">
        <v>0</v>
      </c>
      <c r="L192" s="115">
        <v>0</v>
      </c>
      <c r="M192" s="88">
        <f t="shared" si="126"/>
        <v>573750</v>
      </c>
      <c r="N192" s="3265"/>
    </row>
    <row r="193" spans="1:15" s="262" customFormat="1" ht="15" customHeight="1">
      <c r="A193" s="3435"/>
      <c r="B193" s="315" t="s">
        <v>21</v>
      </c>
      <c r="C193" s="3124"/>
      <c r="D193" s="280">
        <f>E193+F193+G193+H193+I193+J193+K193+L193</f>
        <v>573750</v>
      </c>
      <c r="E193" s="280">
        <v>0</v>
      </c>
      <c r="F193" s="56">
        <v>139187</v>
      </c>
      <c r="G193" s="56">
        <v>199963</v>
      </c>
      <c r="H193" s="56">
        <v>234600</v>
      </c>
      <c r="I193" s="56">
        <v>0</v>
      </c>
      <c r="J193" s="56">
        <v>0</v>
      </c>
      <c r="K193" s="56">
        <v>0</v>
      </c>
      <c r="L193" s="56">
        <v>0</v>
      </c>
      <c r="M193" s="1116">
        <f>SUM(F193:L193)</f>
        <v>573750</v>
      </c>
      <c r="N193" s="3265"/>
    </row>
    <row r="194" spans="1:15" s="262" customFormat="1" ht="15" hidden="1" customHeight="1">
      <c r="A194" s="3435"/>
      <c r="B194" s="1910" t="s">
        <v>449</v>
      </c>
      <c r="C194" s="2992"/>
      <c r="D194" s="280">
        <f t="shared" ref="D194:D195" si="128">E194+F194+G194+H194+I194+J194+K194+L194</f>
        <v>30489</v>
      </c>
      <c r="E194" s="1975"/>
      <c r="F194" s="1913">
        <f>8496+1459+208</f>
        <v>10163</v>
      </c>
      <c r="G194" s="1913">
        <f>8496+1459+208</f>
        <v>10163</v>
      </c>
      <c r="H194" s="1913">
        <f>8496+1459+208</f>
        <v>10163</v>
      </c>
      <c r="I194" s="1397"/>
      <c r="J194" s="1397"/>
      <c r="K194" s="1397"/>
      <c r="L194" s="1397"/>
      <c r="M194" s="1914"/>
      <c r="N194" s="3265"/>
    </row>
    <row r="195" spans="1:15" s="262" customFormat="1" ht="15" hidden="1" customHeight="1">
      <c r="A195" s="3435"/>
      <c r="B195" s="1910" t="s">
        <v>450</v>
      </c>
      <c r="C195" s="2992"/>
      <c r="D195" s="280">
        <f t="shared" si="128"/>
        <v>543261</v>
      </c>
      <c r="E195" s="1975"/>
      <c r="F195" s="1913">
        <v>129026</v>
      </c>
      <c r="G195" s="1913">
        <f>163661+18488+7650</f>
        <v>189799</v>
      </c>
      <c r="H195" s="1913">
        <f>204036+5100+15300</f>
        <v>224436</v>
      </c>
      <c r="I195" s="1397"/>
      <c r="J195" s="1397"/>
      <c r="K195" s="1397"/>
      <c r="L195" s="1397"/>
      <c r="M195" s="1914"/>
      <c r="N195" s="3265"/>
    </row>
    <row r="196" spans="1:15" s="262" customFormat="1" ht="15" customHeight="1">
      <c r="A196" s="3435"/>
      <c r="B196" s="21" t="s">
        <v>22</v>
      </c>
      <c r="C196" s="22"/>
      <c r="D196" s="224">
        <f t="shared" ref="D196:L197" si="129">D197</f>
        <v>573750</v>
      </c>
      <c r="E196" s="224">
        <f t="shared" ref="E196:E197" si="130">+E197</f>
        <v>0</v>
      </c>
      <c r="F196" s="224">
        <f t="shared" si="129"/>
        <v>48432</v>
      </c>
      <c r="G196" s="224">
        <f t="shared" si="129"/>
        <v>130050</v>
      </c>
      <c r="H196" s="224">
        <f t="shared" si="129"/>
        <v>308586</v>
      </c>
      <c r="I196" s="224">
        <f t="shared" si="129"/>
        <v>86682</v>
      </c>
      <c r="J196" s="224">
        <f t="shared" si="129"/>
        <v>0</v>
      </c>
      <c r="K196" s="224">
        <f t="shared" si="129"/>
        <v>0</v>
      </c>
      <c r="L196" s="224">
        <f t="shared" si="129"/>
        <v>0</v>
      </c>
      <c r="M196" s="3121" t="s">
        <v>61</v>
      </c>
      <c r="N196" s="3265"/>
    </row>
    <row r="197" spans="1:15" s="262" customFormat="1" ht="15" customHeight="1">
      <c r="A197" s="3435"/>
      <c r="B197" s="189" t="s">
        <v>18</v>
      </c>
      <c r="C197" s="3236" t="s">
        <v>189</v>
      </c>
      <c r="D197" s="54">
        <f t="shared" si="129"/>
        <v>573750</v>
      </c>
      <c r="E197" s="54">
        <f t="shared" si="130"/>
        <v>0</v>
      </c>
      <c r="F197" s="54">
        <f t="shared" si="129"/>
        <v>48432</v>
      </c>
      <c r="G197" s="54">
        <f t="shared" si="129"/>
        <v>130050</v>
      </c>
      <c r="H197" s="54">
        <f t="shared" si="129"/>
        <v>308586</v>
      </c>
      <c r="I197" s="54">
        <f t="shared" si="129"/>
        <v>86682</v>
      </c>
      <c r="J197" s="54">
        <f t="shared" si="129"/>
        <v>0</v>
      </c>
      <c r="K197" s="54">
        <f t="shared" si="129"/>
        <v>0</v>
      </c>
      <c r="L197" s="54">
        <f t="shared" si="129"/>
        <v>0</v>
      </c>
      <c r="M197" s="3122"/>
      <c r="N197" s="3265"/>
    </row>
    <row r="198" spans="1:15" s="262" customFormat="1" ht="15" customHeight="1" thickBot="1">
      <c r="A198" s="3436"/>
      <c r="B198" s="3017" t="s">
        <v>21</v>
      </c>
      <c r="C198" s="3120"/>
      <c r="D198" s="280">
        <f>E198+F198+G198+H198+I198+J198+K198+L198</f>
        <v>573750</v>
      </c>
      <c r="E198" s="280">
        <v>0</v>
      </c>
      <c r="F198" s="80">
        <v>48432</v>
      </c>
      <c r="G198" s="80">
        <v>130050</v>
      </c>
      <c r="H198" s="80">
        <v>308586</v>
      </c>
      <c r="I198" s="80">
        <v>86682</v>
      </c>
      <c r="J198" s="80">
        <v>0</v>
      </c>
      <c r="K198" s="80">
        <v>0</v>
      </c>
      <c r="L198" s="80">
        <v>0</v>
      </c>
      <c r="M198" s="3123"/>
      <c r="N198" s="3266"/>
    </row>
    <row r="199" spans="1:15" s="262" customFormat="1" ht="50.25" customHeight="1">
      <c r="A199" s="3434" t="s">
        <v>92</v>
      </c>
      <c r="B199" s="204" t="s">
        <v>461</v>
      </c>
      <c r="C199" s="3007" t="s">
        <v>191</v>
      </c>
      <c r="D199" s="1119"/>
      <c r="E199" s="1120"/>
      <c r="F199" s="1121"/>
      <c r="G199" s="1121"/>
      <c r="H199" s="1121"/>
      <c r="I199" s="1120"/>
      <c r="J199" s="1120"/>
      <c r="K199" s="1120"/>
      <c r="L199" s="1120"/>
      <c r="M199" s="1122"/>
      <c r="N199" s="3264" t="s">
        <v>427</v>
      </c>
      <c r="O199" s="262" t="s">
        <v>526</v>
      </c>
    </row>
    <row r="200" spans="1:15" s="262" customFormat="1" ht="15" customHeight="1">
      <c r="A200" s="3435"/>
      <c r="B200" s="2932" t="s">
        <v>10</v>
      </c>
      <c r="C200" s="2933"/>
      <c r="D200" s="2934">
        <f>+D201+D203</f>
        <v>9980</v>
      </c>
      <c r="E200" s="2934">
        <f>+E201+E203</f>
        <v>0</v>
      </c>
      <c r="F200" s="2934">
        <f>+F201+F203</f>
        <v>3380</v>
      </c>
      <c r="G200" s="2934">
        <f t="shared" ref="G200:H200" si="131">+G201+G203</f>
        <v>3300</v>
      </c>
      <c r="H200" s="2934">
        <f t="shared" si="131"/>
        <v>3300</v>
      </c>
      <c r="I200" s="2934">
        <v>0</v>
      </c>
      <c r="J200" s="2934">
        <v>0</v>
      </c>
      <c r="K200" s="2934">
        <v>0</v>
      </c>
      <c r="L200" s="2934">
        <v>0</v>
      </c>
      <c r="M200" s="2935">
        <f>+M201+M203</f>
        <v>9980</v>
      </c>
      <c r="N200" s="3265"/>
    </row>
    <row r="201" spans="1:15" s="262" customFormat="1" ht="15" customHeight="1">
      <c r="A201" s="3435"/>
      <c r="B201" s="2936" t="s">
        <v>24</v>
      </c>
      <c r="C201" s="3146" t="s">
        <v>240</v>
      </c>
      <c r="D201" s="2937">
        <f>+D202</f>
        <v>1497</v>
      </c>
      <c r="E201" s="2944">
        <f>+E202</f>
        <v>0</v>
      </c>
      <c r="F201" s="2944">
        <f>+F202</f>
        <v>507</v>
      </c>
      <c r="G201" s="2944">
        <f t="shared" ref="G201:H201" si="132">+G202</f>
        <v>495</v>
      </c>
      <c r="H201" s="2944">
        <f t="shared" si="132"/>
        <v>495</v>
      </c>
      <c r="I201" s="2948">
        <v>0</v>
      </c>
      <c r="J201" s="2948">
        <v>0</v>
      </c>
      <c r="K201" s="2948">
        <v>0</v>
      </c>
      <c r="L201" s="2948">
        <v>0</v>
      </c>
      <c r="M201" s="2938">
        <f>+M202</f>
        <v>1497</v>
      </c>
      <c r="N201" s="3265"/>
    </row>
    <row r="202" spans="1:15" s="262" customFormat="1" ht="15" customHeight="1">
      <c r="A202" s="3435"/>
      <c r="B202" s="2939" t="s">
        <v>12</v>
      </c>
      <c r="C202" s="3149"/>
      <c r="D202" s="2819">
        <f>E202+F202+G202+H202+I202+J202+K202+L202</f>
        <v>1497</v>
      </c>
      <c r="E202" s="2819">
        <v>0</v>
      </c>
      <c r="F202" s="2940">
        <v>507</v>
      </c>
      <c r="G202" s="2940">
        <v>495</v>
      </c>
      <c r="H202" s="2940">
        <v>495</v>
      </c>
      <c r="I202" s="2948">
        <v>0</v>
      </c>
      <c r="J202" s="2948">
        <v>0</v>
      </c>
      <c r="K202" s="2948">
        <v>0</v>
      </c>
      <c r="L202" s="2948">
        <v>0</v>
      </c>
      <c r="M202" s="2941">
        <f>SUM(F202:L202)</f>
        <v>1497</v>
      </c>
      <c r="N202" s="3265"/>
    </row>
    <row r="203" spans="1:15" s="262" customFormat="1" ht="15" customHeight="1">
      <c r="A203" s="3435"/>
      <c r="B203" s="2942" t="s">
        <v>18</v>
      </c>
      <c r="C203" s="3149"/>
      <c r="D203" s="2937">
        <f>+D204</f>
        <v>8483</v>
      </c>
      <c r="E203" s="2944">
        <f>+E204</f>
        <v>0</v>
      </c>
      <c r="F203" s="2944">
        <f>+F204</f>
        <v>2873</v>
      </c>
      <c r="G203" s="2944">
        <f t="shared" ref="G203:H203" si="133">+G204</f>
        <v>2805</v>
      </c>
      <c r="H203" s="2944">
        <f t="shared" si="133"/>
        <v>2805</v>
      </c>
      <c r="I203" s="2948">
        <v>0</v>
      </c>
      <c r="J203" s="2948">
        <v>0</v>
      </c>
      <c r="K203" s="2948">
        <v>0</v>
      </c>
      <c r="L203" s="2948">
        <v>0</v>
      </c>
      <c r="M203" s="2938">
        <f>+M204</f>
        <v>8483</v>
      </c>
      <c r="N203" s="3265"/>
    </row>
    <row r="204" spans="1:15" s="262" customFormat="1" ht="15" customHeight="1">
      <c r="A204" s="3435"/>
      <c r="B204" s="315" t="s">
        <v>21</v>
      </c>
      <c r="C204" s="3124"/>
      <c r="D204" s="2819">
        <f>E204+F204+G204+H204+I204+J204+K204+L204</f>
        <v>8483</v>
      </c>
      <c r="E204" s="2819">
        <v>0</v>
      </c>
      <c r="F204" s="2940">
        <v>2873</v>
      </c>
      <c r="G204" s="2940">
        <v>2805</v>
      </c>
      <c r="H204" s="2940">
        <v>2805</v>
      </c>
      <c r="I204" s="2948">
        <v>0</v>
      </c>
      <c r="J204" s="2948">
        <v>0</v>
      </c>
      <c r="K204" s="2948">
        <v>0</v>
      </c>
      <c r="L204" s="2948">
        <v>0</v>
      </c>
      <c r="M204" s="2941">
        <f>SUM(F204:L204)</f>
        <v>8483</v>
      </c>
      <c r="N204" s="3659"/>
    </row>
    <row r="205" spans="1:15" s="262" customFormat="1" ht="15" customHeight="1">
      <c r="A205" s="3435"/>
      <c r="B205" s="826" t="s">
        <v>22</v>
      </c>
      <c r="C205" s="2933"/>
      <c r="D205" s="2934">
        <f t="shared" ref="D205:F206" si="134">+D206</f>
        <v>8483</v>
      </c>
      <c r="E205" s="2934">
        <f t="shared" si="134"/>
        <v>0</v>
      </c>
      <c r="F205" s="2934">
        <f t="shared" si="134"/>
        <v>2873</v>
      </c>
      <c r="G205" s="2934">
        <f t="shared" ref="G205:H205" si="135">+G206</f>
        <v>2805</v>
      </c>
      <c r="H205" s="2934">
        <f t="shared" si="135"/>
        <v>2805</v>
      </c>
      <c r="I205" s="2934">
        <v>0</v>
      </c>
      <c r="J205" s="2934">
        <v>0</v>
      </c>
      <c r="K205" s="2934">
        <v>0</v>
      </c>
      <c r="L205" s="2934">
        <v>0</v>
      </c>
      <c r="M205" s="3195"/>
      <c r="N205" s="3265" t="s">
        <v>249</v>
      </c>
    </row>
    <row r="206" spans="1:15" s="262" customFormat="1" ht="15" customHeight="1">
      <c r="A206" s="3435"/>
      <c r="B206" s="783" t="s">
        <v>18</v>
      </c>
      <c r="C206" s="3241" t="s">
        <v>243</v>
      </c>
      <c r="D206" s="2937">
        <f t="shared" si="134"/>
        <v>8483</v>
      </c>
      <c r="E206" s="2948">
        <f t="shared" si="134"/>
        <v>0</v>
      </c>
      <c r="F206" s="2948">
        <f t="shared" si="134"/>
        <v>2873</v>
      </c>
      <c r="G206" s="2948">
        <f t="shared" ref="G206:H206" si="136">+G207</f>
        <v>2805</v>
      </c>
      <c r="H206" s="2948">
        <f t="shared" si="136"/>
        <v>2805</v>
      </c>
      <c r="I206" s="2948">
        <v>0</v>
      </c>
      <c r="J206" s="2948">
        <v>0</v>
      </c>
      <c r="K206" s="2948">
        <v>0</v>
      </c>
      <c r="L206" s="2948">
        <v>0</v>
      </c>
      <c r="M206" s="3122"/>
      <c r="N206" s="3265"/>
    </row>
    <row r="207" spans="1:15" s="262" customFormat="1" ht="15" customHeight="1" thickBot="1">
      <c r="A207" s="3436"/>
      <c r="B207" s="3017" t="s">
        <v>21</v>
      </c>
      <c r="C207" s="3120"/>
      <c r="D207" s="1337">
        <f>E207+F207+G207+H207+I207+J207+K207+L207</f>
        <v>8483</v>
      </c>
      <c r="E207" s="1337">
        <v>0</v>
      </c>
      <c r="F207" s="620">
        <v>2873</v>
      </c>
      <c r="G207" s="620">
        <v>2805</v>
      </c>
      <c r="H207" s="620">
        <v>2805</v>
      </c>
      <c r="I207" s="620">
        <v>0</v>
      </c>
      <c r="J207" s="620">
        <v>0</v>
      </c>
      <c r="K207" s="620">
        <v>0</v>
      </c>
      <c r="L207" s="620">
        <v>0</v>
      </c>
      <c r="M207" s="3123"/>
      <c r="N207" s="3266"/>
    </row>
    <row r="208" spans="1:15" s="262" customFormat="1" ht="49.5" customHeight="1">
      <c r="A208" s="3441" t="s">
        <v>93</v>
      </c>
      <c r="B208" s="204" t="s">
        <v>462</v>
      </c>
      <c r="C208" s="3007" t="s">
        <v>81</v>
      </c>
      <c r="D208" s="1119"/>
      <c r="E208" s="2809"/>
      <c r="F208" s="1121"/>
      <c r="G208" s="1121"/>
      <c r="H208" s="1121"/>
      <c r="I208" s="1120"/>
      <c r="J208" s="1120"/>
      <c r="K208" s="1120"/>
      <c r="L208" s="1120"/>
      <c r="M208" s="1122"/>
      <c r="N208" s="3264" t="s">
        <v>427</v>
      </c>
    </row>
    <row r="209" spans="1:15" s="262" customFormat="1" ht="15" customHeight="1">
      <c r="A209" s="3435"/>
      <c r="B209" s="31" t="s">
        <v>10</v>
      </c>
      <c r="C209" s="22"/>
      <c r="D209" s="224">
        <f>+D210+D212</f>
        <v>990020</v>
      </c>
      <c r="E209" s="224">
        <f>+E210+E212</f>
        <v>0</v>
      </c>
      <c r="F209" s="224">
        <f>+F210+F212</f>
        <v>108190</v>
      </c>
      <c r="G209" s="224">
        <f t="shared" ref="G209:I209" si="137">+G210+G212</f>
        <v>358640</v>
      </c>
      <c r="H209" s="224">
        <f t="shared" si="137"/>
        <v>344790</v>
      </c>
      <c r="I209" s="224">
        <f t="shared" si="137"/>
        <v>178400</v>
      </c>
      <c r="J209" s="224">
        <v>0</v>
      </c>
      <c r="K209" s="224">
        <v>0</v>
      </c>
      <c r="L209" s="224">
        <v>0</v>
      </c>
      <c r="M209" s="71">
        <f>+M210+M212</f>
        <v>990020</v>
      </c>
      <c r="N209" s="3265"/>
      <c r="O209" s="262" t="s">
        <v>526</v>
      </c>
    </row>
    <row r="210" spans="1:15" s="262" customFormat="1" ht="15" customHeight="1">
      <c r="A210" s="3435"/>
      <c r="B210" s="1134" t="s">
        <v>24</v>
      </c>
      <c r="C210" s="3106" t="s">
        <v>240</v>
      </c>
      <c r="D210" s="356">
        <f>+D211</f>
        <v>148504</v>
      </c>
      <c r="E210" s="361">
        <f>+E211</f>
        <v>0</v>
      </c>
      <c r="F210" s="361">
        <f>+F211</f>
        <v>16229</v>
      </c>
      <c r="G210" s="361">
        <f>+G211</f>
        <v>53796</v>
      </c>
      <c r="H210" s="361">
        <f t="shared" ref="H210:I210" si="138">+H211</f>
        <v>51719</v>
      </c>
      <c r="I210" s="361">
        <f t="shared" si="138"/>
        <v>26760</v>
      </c>
      <c r="J210" s="54">
        <v>0</v>
      </c>
      <c r="K210" s="54">
        <v>0</v>
      </c>
      <c r="L210" s="54">
        <v>0</v>
      </c>
      <c r="M210" s="352">
        <f>+M211</f>
        <v>148504</v>
      </c>
      <c r="N210" s="3265"/>
    </row>
    <row r="211" spans="1:15" s="262" customFormat="1" ht="15" customHeight="1">
      <c r="A211" s="3435"/>
      <c r="B211" s="1135" t="s">
        <v>12</v>
      </c>
      <c r="C211" s="3149"/>
      <c r="D211" s="280">
        <f>E211+F211+G211+H211+I211+J211+K211+L211</f>
        <v>148504</v>
      </c>
      <c r="E211" s="280">
        <v>0</v>
      </c>
      <c r="F211" s="355">
        <v>16229</v>
      </c>
      <c r="G211" s="355">
        <v>53796</v>
      </c>
      <c r="H211" s="355">
        <v>51719</v>
      </c>
      <c r="I211" s="355">
        <v>26760</v>
      </c>
      <c r="J211" s="54">
        <v>0</v>
      </c>
      <c r="K211" s="54">
        <v>0</v>
      </c>
      <c r="L211" s="54">
        <v>0</v>
      </c>
      <c r="M211" s="1116">
        <f>+I211+H211+G211+F211</f>
        <v>148504</v>
      </c>
      <c r="N211" s="3265"/>
    </row>
    <row r="212" spans="1:15" s="262" customFormat="1" ht="15" customHeight="1">
      <c r="A212" s="3435"/>
      <c r="B212" s="797" t="s">
        <v>18</v>
      </c>
      <c r="C212" s="3149"/>
      <c r="D212" s="53">
        <f>+D213</f>
        <v>841516</v>
      </c>
      <c r="E212" s="115">
        <f>+E213</f>
        <v>0</v>
      </c>
      <c r="F212" s="115">
        <f>+F213</f>
        <v>91961</v>
      </c>
      <c r="G212" s="115">
        <f t="shared" ref="G212:I212" si="139">+G213</f>
        <v>304844</v>
      </c>
      <c r="H212" s="115">
        <f t="shared" si="139"/>
        <v>293071</v>
      </c>
      <c r="I212" s="115">
        <f t="shared" si="139"/>
        <v>151640</v>
      </c>
      <c r="J212" s="54">
        <v>0</v>
      </c>
      <c r="K212" s="54">
        <v>0</v>
      </c>
      <c r="L212" s="54">
        <v>0</v>
      </c>
      <c r="M212" s="88">
        <f>+M213</f>
        <v>841516</v>
      </c>
      <c r="N212" s="3265"/>
    </row>
    <row r="213" spans="1:15" s="262" customFormat="1" ht="15" customHeight="1">
      <c r="A213" s="3435"/>
      <c r="B213" s="315" t="s">
        <v>21</v>
      </c>
      <c r="C213" s="3124"/>
      <c r="D213" s="280">
        <f>E213+F213+G213+H213+I213+J213+K213+L213</f>
        <v>841516</v>
      </c>
      <c r="E213" s="2205">
        <v>0</v>
      </c>
      <c r="F213" s="999">
        <v>91961</v>
      </c>
      <c r="G213" s="999">
        <v>304844</v>
      </c>
      <c r="H213" s="999">
        <v>293071</v>
      </c>
      <c r="I213" s="999">
        <v>151640</v>
      </c>
      <c r="J213" s="54">
        <v>0</v>
      </c>
      <c r="K213" s="54">
        <v>0</v>
      </c>
      <c r="L213" s="54">
        <v>0</v>
      </c>
      <c r="M213" s="1116">
        <f>+I213+H213+G213+F213</f>
        <v>841516</v>
      </c>
      <c r="N213" s="3659"/>
    </row>
    <row r="214" spans="1:15" s="262" customFormat="1" ht="15" customHeight="1">
      <c r="A214" s="3435"/>
      <c r="B214" s="21" t="s">
        <v>22</v>
      </c>
      <c r="C214" s="22"/>
      <c r="D214" s="224">
        <f t="shared" ref="D214:F215" si="140">+D215</f>
        <v>841516</v>
      </c>
      <c r="E214" s="116">
        <f t="shared" si="140"/>
        <v>0</v>
      </c>
      <c r="F214" s="116">
        <f t="shared" si="140"/>
        <v>91961</v>
      </c>
      <c r="G214" s="116">
        <f t="shared" ref="G214:I214" si="141">+G215</f>
        <v>304844</v>
      </c>
      <c r="H214" s="116">
        <f t="shared" si="141"/>
        <v>293071</v>
      </c>
      <c r="I214" s="116">
        <f t="shared" si="141"/>
        <v>151640</v>
      </c>
      <c r="J214" s="224">
        <v>0</v>
      </c>
      <c r="K214" s="224">
        <v>0</v>
      </c>
      <c r="L214" s="224">
        <v>0</v>
      </c>
      <c r="M214" s="3121"/>
      <c r="N214" s="3265" t="s">
        <v>249</v>
      </c>
    </row>
    <row r="215" spans="1:15" s="262" customFormat="1" ht="15" customHeight="1">
      <c r="A215" s="3435"/>
      <c r="B215" s="189" t="s">
        <v>18</v>
      </c>
      <c r="C215" s="3660" t="s">
        <v>243</v>
      </c>
      <c r="D215" s="53">
        <f t="shared" si="140"/>
        <v>841516</v>
      </c>
      <c r="E215" s="54">
        <f t="shared" si="140"/>
        <v>0</v>
      </c>
      <c r="F215" s="54">
        <f t="shared" si="140"/>
        <v>91961</v>
      </c>
      <c r="G215" s="54">
        <f t="shared" ref="G215:I215" si="142">+G216</f>
        <v>304844</v>
      </c>
      <c r="H215" s="54">
        <f t="shared" si="142"/>
        <v>293071</v>
      </c>
      <c r="I215" s="54">
        <f t="shared" si="142"/>
        <v>151640</v>
      </c>
      <c r="J215" s="54">
        <v>0</v>
      </c>
      <c r="K215" s="54">
        <v>0</v>
      </c>
      <c r="L215" s="54">
        <v>0</v>
      </c>
      <c r="M215" s="3122"/>
      <c r="N215" s="3265"/>
    </row>
    <row r="216" spans="1:15" s="262" customFormat="1" ht="15" customHeight="1" thickBot="1">
      <c r="A216" s="3436"/>
      <c r="B216" s="3017" t="s">
        <v>21</v>
      </c>
      <c r="C216" s="3120"/>
      <c r="D216" s="280">
        <f>E216+F216+G216+H216+I216+J216+K216+L216</f>
        <v>841516</v>
      </c>
      <c r="E216" s="280">
        <v>0</v>
      </c>
      <c r="F216" s="80">
        <v>91961</v>
      </c>
      <c r="G216" s="80">
        <v>304844</v>
      </c>
      <c r="H216" s="80">
        <v>293071</v>
      </c>
      <c r="I216" s="80">
        <v>151640</v>
      </c>
      <c r="J216" s="80">
        <v>0</v>
      </c>
      <c r="K216" s="80">
        <v>0</v>
      </c>
      <c r="L216" s="80">
        <v>0</v>
      </c>
      <c r="M216" s="3123"/>
      <c r="N216" s="3266"/>
    </row>
    <row r="217" spans="1:15" s="262" customFormat="1" ht="28.5" customHeight="1">
      <c r="A217" s="3441" t="s">
        <v>94</v>
      </c>
      <c r="B217" s="204" t="s">
        <v>528</v>
      </c>
      <c r="C217" s="3007" t="s">
        <v>111</v>
      </c>
      <c r="D217" s="1119"/>
      <c r="E217" s="2809"/>
      <c r="F217" s="1121"/>
      <c r="G217" s="1121"/>
      <c r="H217" s="1121"/>
      <c r="I217" s="1120"/>
      <c r="J217" s="1120"/>
      <c r="K217" s="1120"/>
      <c r="L217" s="1120"/>
      <c r="M217" s="1122"/>
      <c r="N217" s="3264" t="s">
        <v>441</v>
      </c>
    </row>
    <row r="218" spans="1:15" s="262" customFormat="1" ht="15" customHeight="1">
      <c r="A218" s="3435"/>
      <c r="B218" s="31" t="s">
        <v>10</v>
      </c>
      <c r="C218" s="22"/>
      <c r="D218" s="224">
        <f>+D219+D223</f>
        <v>637040</v>
      </c>
      <c r="E218" s="224">
        <f t="shared" ref="E218" si="143">+E219+E223</f>
        <v>0</v>
      </c>
      <c r="F218" s="224">
        <f t="shared" ref="F218:L218" si="144">+F219+F223</f>
        <v>14340</v>
      </c>
      <c r="G218" s="224">
        <f t="shared" si="144"/>
        <v>184907</v>
      </c>
      <c r="H218" s="224">
        <f t="shared" si="144"/>
        <v>372867</v>
      </c>
      <c r="I218" s="224">
        <f t="shared" si="144"/>
        <v>64926</v>
      </c>
      <c r="J218" s="2455">
        <f t="shared" si="144"/>
        <v>0</v>
      </c>
      <c r="K218" s="2455">
        <f t="shared" si="144"/>
        <v>0</v>
      </c>
      <c r="L218" s="2455">
        <f t="shared" si="144"/>
        <v>0</v>
      </c>
      <c r="M218" s="71">
        <f>SUM(F218:L218)</f>
        <v>637040</v>
      </c>
      <c r="N218" s="3265"/>
      <c r="O218" s="262" t="s">
        <v>442</v>
      </c>
    </row>
    <row r="219" spans="1:15" s="262" customFormat="1" ht="15" customHeight="1">
      <c r="A219" s="3435"/>
      <c r="B219" s="1134" t="s">
        <v>24</v>
      </c>
      <c r="C219" s="3106" t="s">
        <v>519</v>
      </c>
      <c r="D219" s="356">
        <f>SUM(D220)</f>
        <v>96449</v>
      </c>
      <c r="E219" s="356">
        <f t="shared" ref="E219:L219" si="145">SUM(E220)</f>
        <v>0</v>
      </c>
      <c r="F219" s="356">
        <f t="shared" si="145"/>
        <v>2151</v>
      </c>
      <c r="G219" s="356">
        <f t="shared" si="145"/>
        <v>28034</v>
      </c>
      <c r="H219" s="356">
        <f t="shared" si="145"/>
        <v>56227</v>
      </c>
      <c r="I219" s="356">
        <f t="shared" si="145"/>
        <v>10037</v>
      </c>
      <c r="J219" s="2456">
        <f t="shared" si="145"/>
        <v>0</v>
      </c>
      <c r="K219" s="2456">
        <f t="shared" si="145"/>
        <v>0</v>
      </c>
      <c r="L219" s="2456">
        <f t="shared" si="145"/>
        <v>0</v>
      </c>
      <c r="M219" s="71">
        <f t="shared" ref="M219:M226" si="146">SUM(F219:L219)</f>
        <v>96449</v>
      </c>
      <c r="N219" s="3265"/>
    </row>
    <row r="220" spans="1:15" s="262" customFormat="1" ht="15" customHeight="1">
      <c r="A220" s="3435"/>
      <c r="B220" s="1135" t="s">
        <v>12</v>
      </c>
      <c r="C220" s="3149"/>
      <c r="D220" s="280">
        <f>E220+F220+G220+H220+I220+J220+K220+L220</f>
        <v>96449</v>
      </c>
      <c r="E220" s="280">
        <v>0</v>
      </c>
      <c r="F220" s="280">
        <f t="shared" ref="F220:L220" si="147">SUM(F221:F222)</f>
        <v>2151</v>
      </c>
      <c r="G220" s="280">
        <f t="shared" si="147"/>
        <v>28034</v>
      </c>
      <c r="H220" s="280">
        <f t="shared" si="147"/>
        <v>56227</v>
      </c>
      <c r="I220" s="280">
        <f t="shared" si="147"/>
        <v>10037</v>
      </c>
      <c r="J220" s="2457">
        <f t="shared" si="147"/>
        <v>0</v>
      </c>
      <c r="K220" s="2457">
        <f t="shared" si="147"/>
        <v>0</v>
      </c>
      <c r="L220" s="2457">
        <f t="shared" si="147"/>
        <v>0</v>
      </c>
      <c r="M220" s="71">
        <f t="shared" si="146"/>
        <v>96449</v>
      </c>
      <c r="N220" s="3265"/>
    </row>
    <row r="221" spans="1:15" s="262" customFormat="1" ht="15" hidden="1" customHeight="1">
      <c r="A221" s="3435"/>
      <c r="B221" s="2458" t="s">
        <v>520</v>
      </c>
      <c r="C221" s="3149"/>
      <c r="D221" s="1345">
        <f>SUM(E221:L221)</f>
        <v>78163</v>
      </c>
      <c r="E221" s="2811">
        <v>0</v>
      </c>
      <c r="F221" s="1397">
        <v>2151</v>
      </c>
      <c r="G221" s="1397">
        <v>22007</v>
      </c>
      <c r="H221" s="1397">
        <v>45779</v>
      </c>
      <c r="I221" s="1397">
        <v>8226</v>
      </c>
      <c r="J221" s="2459">
        <v>0</v>
      </c>
      <c r="K221" s="2459">
        <v>0</v>
      </c>
      <c r="L221" s="2459">
        <v>0</v>
      </c>
      <c r="M221" s="71">
        <f t="shared" si="146"/>
        <v>78163</v>
      </c>
      <c r="N221" s="3265"/>
    </row>
    <row r="222" spans="1:15" s="262" customFormat="1" ht="15" hidden="1" customHeight="1">
      <c r="A222" s="3435"/>
      <c r="B222" s="2458" t="s">
        <v>326</v>
      </c>
      <c r="C222" s="3149"/>
      <c r="D222" s="1345">
        <v>18286</v>
      </c>
      <c r="E222" s="2811">
        <v>0</v>
      </c>
      <c r="F222" s="2460">
        <v>0</v>
      </c>
      <c r="G222" s="1397">
        <v>6027</v>
      </c>
      <c r="H222" s="1397">
        <v>10448</v>
      </c>
      <c r="I222" s="1397">
        <v>1811</v>
      </c>
      <c r="J222" s="2459">
        <v>0</v>
      </c>
      <c r="K222" s="2459">
        <v>0</v>
      </c>
      <c r="L222" s="2459">
        <v>0</v>
      </c>
      <c r="M222" s="71">
        <f t="shared" si="146"/>
        <v>18286</v>
      </c>
      <c r="N222" s="3265"/>
    </row>
    <row r="223" spans="1:15" s="262" customFormat="1" ht="15" customHeight="1">
      <c r="A223" s="3435"/>
      <c r="B223" s="797" t="s">
        <v>18</v>
      </c>
      <c r="C223" s="3149"/>
      <c r="D223" s="53">
        <f>SUM(E223:L223)</f>
        <v>540591</v>
      </c>
      <c r="E223" s="53">
        <f t="shared" ref="E223:L223" si="148">SUM(E224)</f>
        <v>0</v>
      </c>
      <c r="F223" s="53">
        <f t="shared" si="148"/>
        <v>12189</v>
      </c>
      <c r="G223" s="53">
        <f t="shared" si="148"/>
        <v>156873</v>
      </c>
      <c r="H223" s="53">
        <f t="shared" si="148"/>
        <v>316640</v>
      </c>
      <c r="I223" s="53">
        <f t="shared" si="148"/>
        <v>54889</v>
      </c>
      <c r="J223" s="2461">
        <f t="shared" si="148"/>
        <v>0</v>
      </c>
      <c r="K223" s="2461">
        <f t="shared" si="148"/>
        <v>0</v>
      </c>
      <c r="L223" s="2461">
        <f t="shared" si="148"/>
        <v>0</v>
      </c>
      <c r="M223" s="71">
        <f t="shared" si="146"/>
        <v>540591</v>
      </c>
      <c r="N223" s="3265"/>
    </row>
    <row r="224" spans="1:15" s="262" customFormat="1" ht="15" customHeight="1">
      <c r="A224" s="3435"/>
      <c r="B224" s="315" t="s">
        <v>21</v>
      </c>
      <c r="C224" s="3149"/>
      <c r="D224" s="280">
        <f>E224+F224+G224+H224+I224+J224+K224+L224</f>
        <v>540591</v>
      </c>
      <c r="E224" s="280">
        <v>0</v>
      </c>
      <c r="F224" s="2463">
        <f t="shared" ref="F224:L224" si="149">SUM(F225:F226)</f>
        <v>12189</v>
      </c>
      <c r="G224" s="2463">
        <f t="shared" si="149"/>
        <v>156873</v>
      </c>
      <c r="H224" s="2463">
        <f t="shared" si="149"/>
        <v>316640</v>
      </c>
      <c r="I224" s="2463">
        <f t="shared" si="149"/>
        <v>54889</v>
      </c>
      <c r="J224" s="2758">
        <f t="shared" si="149"/>
        <v>0</v>
      </c>
      <c r="K224" s="2758">
        <f t="shared" si="149"/>
        <v>0</v>
      </c>
      <c r="L224" s="2758">
        <f t="shared" si="149"/>
        <v>0</v>
      </c>
      <c r="M224" s="71">
        <f t="shared" si="146"/>
        <v>540591</v>
      </c>
      <c r="N224" s="3265"/>
    </row>
    <row r="225" spans="1:15" s="262" customFormat="1" ht="15" hidden="1" customHeight="1">
      <c r="A225" s="3697"/>
      <c r="B225" s="2462" t="s">
        <v>520</v>
      </c>
      <c r="C225" s="3698"/>
      <c r="D225" s="2463">
        <f>SUM(E225:L225)</f>
        <v>436968</v>
      </c>
      <c r="E225" s="2812">
        <v>0</v>
      </c>
      <c r="F225" s="2464">
        <v>12189</v>
      </c>
      <c r="G225" s="2464">
        <v>122723</v>
      </c>
      <c r="H225" s="2464">
        <v>257431</v>
      </c>
      <c r="I225" s="2464">
        <v>44625</v>
      </c>
      <c r="J225" s="2465">
        <v>0</v>
      </c>
      <c r="K225" s="2465">
        <v>0</v>
      </c>
      <c r="L225" s="2465">
        <v>0</v>
      </c>
      <c r="M225" s="71">
        <f t="shared" si="146"/>
        <v>436968</v>
      </c>
      <c r="N225" s="3265"/>
    </row>
    <row r="226" spans="1:15" s="262" customFormat="1" ht="15" hidden="1" customHeight="1">
      <c r="A226" s="3697"/>
      <c r="B226" s="2466" t="s">
        <v>326</v>
      </c>
      <c r="C226" s="3699"/>
      <c r="D226" s="280">
        <f>SUM(E226:L226)</f>
        <v>103623</v>
      </c>
      <c r="E226" s="2813">
        <v>0</v>
      </c>
      <c r="F226" s="2467">
        <v>0</v>
      </c>
      <c r="G226" s="999">
        <v>34150</v>
      </c>
      <c r="H226" s="999">
        <v>59209</v>
      </c>
      <c r="I226" s="999">
        <v>10264</v>
      </c>
      <c r="J226" s="2468">
        <v>0</v>
      </c>
      <c r="K226" s="2468">
        <v>0</v>
      </c>
      <c r="L226" s="2468">
        <v>0</v>
      </c>
      <c r="M226" s="71">
        <f t="shared" si="146"/>
        <v>103623</v>
      </c>
      <c r="N226" s="3659"/>
    </row>
    <row r="227" spans="1:15" s="262" customFormat="1" ht="15" customHeight="1">
      <c r="A227" s="3435"/>
      <c r="B227" s="91" t="s">
        <v>22</v>
      </c>
      <c r="C227" s="22"/>
      <c r="D227" s="224">
        <f>SUM(E227:L227)</f>
        <v>540591</v>
      </c>
      <c r="E227" s="224">
        <f t="shared" ref="E227:L227" si="150">+E228</f>
        <v>0</v>
      </c>
      <c r="F227" s="2455">
        <f t="shared" si="150"/>
        <v>0</v>
      </c>
      <c r="G227" s="224">
        <f t="shared" si="150"/>
        <v>69700</v>
      </c>
      <c r="H227" s="224">
        <f t="shared" si="150"/>
        <v>353818</v>
      </c>
      <c r="I227" s="224">
        <f t="shared" si="150"/>
        <v>117073</v>
      </c>
      <c r="J227" s="2455">
        <f t="shared" si="150"/>
        <v>0</v>
      </c>
      <c r="K227" s="2455">
        <f t="shared" si="150"/>
        <v>0</v>
      </c>
      <c r="L227" s="2455">
        <f t="shared" si="150"/>
        <v>0</v>
      </c>
      <c r="M227" s="3121"/>
      <c r="N227" s="3700" t="s">
        <v>249</v>
      </c>
    </row>
    <row r="228" spans="1:15" s="262" customFormat="1" ht="15" customHeight="1">
      <c r="A228" s="3435"/>
      <c r="B228" s="189" t="s">
        <v>18</v>
      </c>
      <c r="C228" s="3660" t="s">
        <v>189</v>
      </c>
      <c r="D228" s="53">
        <f>SUM(E228:L228)</f>
        <v>540591</v>
      </c>
      <c r="E228" s="53">
        <f t="shared" ref="E228:L228" si="151">SUM(E229)</f>
        <v>0</v>
      </c>
      <c r="F228" s="2461">
        <f t="shared" si="151"/>
        <v>0</v>
      </c>
      <c r="G228" s="53">
        <f t="shared" si="151"/>
        <v>69700</v>
      </c>
      <c r="H228" s="53">
        <f t="shared" si="151"/>
        <v>353818</v>
      </c>
      <c r="I228" s="53">
        <f t="shared" si="151"/>
        <v>117073</v>
      </c>
      <c r="J228" s="2461">
        <f t="shared" si="151"/>
        <v>0</v>
      </c>
      <c r="K228" s="2461">
        <f t="shared" si="151"/>
        <v>0</v>
      </c>
      <c r="L228" s="2461">
        <f t="shared" si="151"/>
        <v>0</v>
      </c>
      <c r="M228" s="3122"/>
      <c r="N228" s="3265"/>
    </row>
    <row r="229" spans="1:15" s="262" customFormat="1" ht="15" customHeight="1" thickBot="1">
      <c r="A229" s="3436"/>
      <c r="B229" s="3017" t="s">
        <v>21</v>
      </c>
      <c r="C229" s="3120"/>
      <c r="D229" s="280">
        <f>E229+F229+G229+H229+I229+J229+K229+L229</f>
        <v>540591</v>
      </c>
      <c r="E229" s="280">
        <v>0</v>
      </c>
      <c r="F229" s="2469">
        <v>0</v>
      </c>
      <c r="G229" s="80">
        <v>69700</v>
      </c>
      <c r="H229" s="80">
        <v>353818</v>
      </c>
      <c r="I229" s="80">
        <v>117073</v>
      </c>
      <c r="J229" s="2469">
        <v>0</v>
      </c>
      <c r="K229" s="2469">
        <v>0</v>
      </c>
      <c r="L229" s="2469">
        <v>0</v>
      </c>
      <c r="M229" s="3123"/>
      <c r="N229" s="3266"/>
    </row>
    <row r="230" spans="1:15" s="262" customFormat="1" ht="26.25" customHeight="1">
      <c r="A230" s="3441" t="s">
        <v>95</v>
      </c>
      <c r="B230" s="204" t="s">
        <v>528</v>
      </c>
      <c r="C230" s="3007" t="s">
        <v>81</v>
      </c>
      <c r="D230" s="1119"/>
      <c r="E230" s="2809"/>
      <c r="F230" s="1121"/>
      <c r="G230" s="1121"/>
      <c r="H230" s="1121"/>
      <c r="I230" s="1120"/>
      <c r="J230" s="1120"/>
      <c r="K230" s="1120"/>
      <c r="L230" s="1120"/>
      <c r="M230" s="1122"/>
      <c r="N230" s="3264" t="s">
        <v>249</v>
      </c>
      <c r="O230" s="262" t="s">
        <v>525</v>
      </c>
    </row>
    <row r="231" spans="1:15" s="262" customFormat="1" ht="15" customHeight="1">
      <c r="A231" s="3435"/>
      <c r="B231" s="31" t="s">
        <v>10</v>
      </c>
      <c r="C231" s="22"/>
      <c r="D231" s="224">
        <f>SUM(E231:L231)</f>
        <v>15960</v>
      </c>
      <c r="E231" s="2470">
        <f>SUM(E232,E234)</f>
        <v>0</v>
      </c>
      <c r="F231" s="1261">
        <f t="shared" ref="F231:L231" si="152">F232+F234</f>
        <v>0</v>
      </c>
      <c r="G231" s="2470">
        <f>SUM(G232,G234)</f>
        <v>15960</v>
      </c>
      <c r="H231" s="1261">
        <f t="shared" si="152"/>
        <v>0</v>
      </c>
      <c r="I231" s="1261">
        <f t="shared" si="152"/>
        <v>0</v>
      </c>
      <c r="J231" s="1261">
        <f t="shared" si="152"/>
        <v>0</v>
      </c>
      <c r="K231" s="1261">
        <f t="shared" si="152"/>
        <v>0</v>
      </c>
      <c r="L231" s="1261">
        <f t="shared" si="152"/>
        <v>0</v>
      </c>
      <c r="M231" s="71">
        <f>+M232+M234</f>
        <v>15960</v>
      </c>
      <c r="N231" s="3265"/>
    </row>
    <row r="232" spans="1:15" s="262" customFormat="1" ht="15" customHeight="1">
      <c r="A232" s="3435"/>
      <c r="B232" s="1134" t="s">
        <v>24</v>
      </c>
      <c r="C232" s="3106" t="s">
        <v>189</v>
      </c>
      <c r="D232" s="356">
        <f>SUM(E232:L232)</f>
        <v>2394</v>
      </c>
      <c r="E232" s="2471">
        <f t="shared" ref="E232:L232" si="153">E233</f>
        <v>0</v>
      </c>
      <c r="F232" s="1974">
        <f t="shared" si="153"/>
        <v>0</v>
      </c>
      <c r="G232" s="2471">
        <f t="shared" si="153"/>
        <v>2394</v>
      </c>
      <c r="H232" s="1974">
        <f t="shared" si="153"/>
        <v>0</v>
      </c>
      <c r="I232" s="1974">
        <f t="shared" si="153"/>
        <v>0</v>
      </c>
      <c r="J232" s="1974">
        <f t="shared" si="153"/>
        <v>0</v>
      </c>
      <c r="K232" s="1974">
        <f t="shared" si="153"/>
        <v>0</v>
      </c>
      <c r="L232" s="1974">
        <f t="shared" si="153"/>
        <v>0</v>
      </c>
      <c r="M232" s="352">
        <f>+M233</f>
        <v>2394</v>
      </c>
      <c r="N232" s="3265"/>
    </row>
    <row r="233" spans="1:15" s="262" customFormat="1" ht="15" customHeight="1">
      <c r="A233" s="3435"/>
      <c r="B233" s="1135" t="s">
        <v>12</v>
      </c>
      <c r="C233" s="3149"/>
      <c r="D233" s="280">
        <f>E233+F233+G233+H233+I233+J233+K233+L233</f>
        <v>2394</v>
      </c>
      <c r="E233" s="280">
        <v>0</v>
      </c>
      <c r="F233" s="1922">
        <v>0</v>
      </c>
      <c r="G233" s="2472">
        <v>2394</v>
      </c>
      <c r="H233" s="1922">
        <v>0</v>
      </c>
      <c r="I233" s="1922">
        <v>0</v>
      </c>
      <c r="J233" s="1922">
        <v>0</v>
      </c>
      <c r="K233" s="1922">
        <v>0</v>
      </c>
      <c r="L233" s="1922">
        <v>0</v>
      </c>
      <c r="M233" s="1116">
        <f>+I233+H233+G233+F233</f>
        <v>2394</v>
      </c>
      <c r="N233" s="3265"/>
    </row>
    <row r="234" spans="1:15" s="262" customFormat="1" ht="15" customHeight="1">
      <c r="A234" s="3435"/>
      <c r="B234" s="797" t="s">
        <v>18</v>
      </c>
      <c r="C234" s="3149"/>
      <c r="D234" s="53">
        <f>SUM(E234:L234)</f>
        <v>13566</v>
      </c>
      <c r="E234" s="2473">
        <f>E235</f>
        <v>0</v>
      </c>
      <c r="F234" s="1976">
        <v>0</v>
      </c>
      <c r="G234" s="2473">
        <f>G235</f>
        <v>13566</v>
      </c>
      <c r="H234" s="1976">
        <v>0</v>
      </c>
      <c r="I234" s="1976">
        <v>0</v>
      </c>
      <c r="J234" s="1976">
        <v>0</v>
      </c>
      <c r="K234" s="1976">
        <v>0</v>
      </c>
      <c r="L234" s="1976">
        <v>0</v>
      </c>
      <c r="M234" s="88">
        <f>+M235</f>
        <v>13566</v>
      </c>
      <c r="N234" s="3265"/>
    </row>
    <row r="235" spans="1:15" s="262" customFormat="1" ht="15" customHeight="1">
      <c r="A235" s="3435"/>
      <c r="B235" s="315" t="s">
        <v>21</v>
      </c>
      <c r="C235" s="3124"/>
      <c r="D235" s="280">
        <f>E235+F235+G235+H235+I235+J235+K235+L235</f>
        <v>13566</v>
      </c>
      <c r="E235" s="280">
        <v>0</v>
      </c>
      <c r="F235" s="1922">
        <v>0</v>
      </c>
      <c r="G235" s="2472">
        <v>13566</v>
      </c>
      <c r="H235" s="1922">
        <v>0</v>
      </c>
      <c r="I235" s="1922">
        <v>0</v>
      </c>
      <c r="J235" s="1922">
        <v>0</v>
      </c>
      <c r="K235" s="1922">
        <v>0</v>
      </c>
      <c r="L235" s="1922">
        <v>0</v>
      </c>
      <c r="M235" s="1116">
        <f>+I235+H235+G235+F235</f>
        <v>13566</v>
      </c>
      <c r="N235" s="3659"/>
    </row>
    <row r="236" spans="1:15" s="262" customFormat="1" ht="15" customHeight="1">
      <c r="A236" s="3435"/>
      <c r="B236" s="21" t="s">
        <v>22</v>
      </c>
      <c r="C236" s="22"/>
      <c r="D236" s="224">
        <f>SUM(E236:L236)</f>
        <v>13566</v>
      </c>
      <c r="E236" s="2470">
        <f t="shared" ref="E236:L237" si="154">E237</f>
        <v>0</v>
      </c>
      <c r="F236" s="1261">
        <f t="shared" si="154"/>
        <v>0</v>
      </c>
      <c r="G236" s="2470">
        <f t="shared" si="154"/>
        <v>13566</v>
      </c>
      <c r="H236" s="1261">
        <f t="shared" si="154"/>
        <v>0</v>
      </c>
      <c r="I236" s="1261">
        <f t="shared" si="154"/>
        <v>0</v>
      </c>
      <c r="J236" s="1261">
        <f t="shared" si="154"/>
        <v>0</v>
      </c>
      <c r="K236" s="1261">
        <f t="shared" si="154"/>
        <v>0</v>
      </c>
      <c r="L236" s="1261">
        <f t="shared" si="154"/>
        <v>0</v>
      </c>
      <c r="M236" s="3121"/>
      <c r="N236" s="3265" t="s">
        <v>249</v>
      </c>
    </row>
    <row r="237" spans="1:15" s="262" customFormat="1" ht="15" customHeight="1">
      <c r="A237" s="3435"/>
      <c r="B237" s="189" t="s">
        <v>18</v>
      </c>
      <c r="C237" s="3660" t="s">
        <v>189</v>
      </c>
      <c r="D237" s="53">
        <f>SUM(E237:L237)</f>
        <v>13566</v>
      </c>
      <c r="E237" s="2474">
        <f t="shared" si="154"/>
        <v>0</v>
      </c>
      <c r="F237" s="322">
        <f t="shared" si="154"/>
        <v>0</v>
      </c>
      <c r="G237" s="2474">
        <f t="shared" si="154"/>
        <v>13566</v>
      </c>
      <c r="H237" s="322">
        <f t="shared" si="154"/>
        <v>0</v>
      </c>
      <c r="I237" s="322">
        <f t="shared" si="154"/>
        <v>0</v>
      </c>
      <c r="J237" s="322">
        <f t="shared" si="154"/>
        <v>0</v>
      </c>
      <c r="K237" s="322">
        <f t="shared" si="154"/>
        <v>0</v>
      </c>
      <c r="L237" s="322">
        <f t="shared" si="154"/>
        <v>0</v>
      </c>
      <c r="M237" s="3122"/>
      <c r="N237" s="3265"/>
    </row>
    <row r="238" spans="1:15" s="262" customFormat="1" ht="15" customHeight="1" thickBot="1">
      <c r="A238" s="3436"/>
      <c r="B238" s="3017" t="s">
        <v>21</v>
      </c>
      <c r="C238" s="3120"/>
      <c r="D238" s="280">
        <f>E238+F238+G238+H238+I238+J238+K238+L238</f>
        <v>13566</v>
      </c>
      <c r="E238" s="280">
        <v>0</v>
      </c>
      <c r="F238" s="1921">
        <v>0</v>
      </c>
      <c r="G238" s="2475">
        <v>13566</v>
      </c>
      <c r="H238" s="1921">
        <v>0</v>
      </c>
      <c r="I238" s="1921">
        <v>0</v>
      </c>
      <c r="J238" s="1921">
        <v>0</v>
      </c>
      <c r="K238" s="1921">
        <v>0</v>
      </c>
      <c r="L238" s="1921">
        <v>0</v>
      </c>
      <c r="M238" s="3123"/>
      <c r="N238" s="3266"/>
    </row>
    <row r="239" spans="1:15" s="262" customFormat="1" ht="40.5" customHeight="1">
      <c r="A239" s="3434" t="s">
        <v>96</v>
      </c>
      <c r="B239" s="204" t="s">
        <v>529</v>
      </c>
      <c r="C239" s="3007" t="s">
        <v>111</v>
      </c>
      <c r="D239" s="1119"/>
      <c r="E239" s="2809"/>
      <c r="F239" s="1121"/>
      <c r="G239" s="1121"/>
      <c r="H239" s="1121"/>
      <c r="I239" s="1120"/>
      <c r="J239" s="1120"/>
      <c r="K239" s="1120"/>
      <c r="L239" s="1120"/>
      <c r="M239" s="1122"/>
      <c r="N239" s="3264" t="s">
        <v>441</v>
      </c>
    </row>
    <row r="240" spans="1:15" s="262" customFormat="1" ht="15" customHeight="1">
      <c r="A240" s="3435"/>
      <c r="B240" s="2932" t="s">
        <v>10</v>
      </c>
      <c r="C240" s="2933"/>
      <c r="D240" s="2934">
        <f>+D241+D245</f>
        <v>1276500</v>
      </c>
      <c r="E240" s="2934">
        <f t="shared" ref="E240" si="155">+E241+E245</f>
        <v>0</v>
      </c>
      <c r="F240" s="2934">
        <f t="shared" ref="F240:L240" si="156">+F241+F245</f>
        <v>25830</v>
      </c>
      <c r="G240" s="2934">
        <f t="shared" si="156"/>
        <v>545213</v>
      </c>
      <c r="H240" s="2934">
        <f t="shared" si="156"/>
        <v>671780</v>
      </c>
      <c r="I240" s="2934">
        <f t="shared" si="156"/>
        <v>33677</v>
      </c>
      <c r="J240" s="2949">
        <f t="shared" si="156"/>
        <v>0</v>
      </c>
      <c r="K240" s="2949">
        <f t="shared" si="156"/>
        <v>0</v>
      </c>
      <c r="L240" s="2949">
        <f t="shared" si="156"/>
        <v>0</v>
      </c>
      <c r="M240" s="2935">
        <f>SUM(F240:L240)</f>
        <v>1276500</v>
      </c>
      <c r="N240" s="3265"/>
      <c r="O240" s="262" t="s">
        <v>442</v>
      </c>
    </row>
    <row r="241" spans="1:14" s="262" customFormat="1" ht="15" customHeight="1">
      <c r="A241" s="3435"/>
      <c r="B241" s="2936" t="s">
        <v>24</v>
      </c>
      <c r="C241" s="3146" t="s">
        <v>519</v>
      </c>
      <c r="D241" s="2937">
        <f>SUM(D242)</f>
        <v>191898</v>
      </c>
      <c r="E241" s="2937">
        <f t="shared" ref="E241:L241" si="157">SUM(E242)</f>
        <v>0</v>
      </c>
      <c r="F241" s="2937">
        <f t="shared" si="157"/>
        <v>3874</v>
      </c>
      <c r="G241" s="2937">
        <f t="shared" si="157"/>
        <v>81952</v>
      </c>
      <c r="H241" s="2937">
        <f t="shared" si="157"/>
        <v>100937</v>
      </c>
      <c r="I241" s="2937">
        <f t="shared" si="157"/>
        <v>5135</v>
      </c>
      <c r="J241" s="2950">
        <f t="shared" si="157"/>
        <v>0</v>
      </c>
      <c r="K241" s="2950">
        <f t="shared" si="157"/>
        <v>0</v>
      </c>
      <c r="L241" s="2950">
        <f t="shared" si="157"/>
        <v>0</v>
      </c>
      <c r="M241" s="2935">
        <f t="shared" ref="M241:M248" si="158">SUM(F241:L241)</f>
        <v>191898</v>
      </c>
      <c r="N241" s="3265"/>
    </row>
    <row r="242" spans="1:14" s="262" customFormat="1" ht="15" customHeight="1">
      <c r="A242" s="3435"/>
      <c r="B242" s="2939" t="s">
        <v>12</v>
      </c>
      <c r="C242" s="3149"/>
      <c r="D242" s="2819">
        <f>E242+F242+G242+H242+I242+J242+K242+L242</f>
        <v>191898</v>
      </c>
      <c r="E242" s="2819">
        <v>0</v>
      </c>
      <c r="F242" s="2819">
        <f t="shared" ref="F242:L242" si="159">SUM(F243:F244)</f>
        <v>3874</v>
      </c>
      <c r="G242" s="2819">
        <f t="shared" si="159"/>
        <v>81952</v>
      </c>
      <c r="H242" s="2819">
        <f t="shared" si="159"/>
        <v>100937</v>
      </c>
      <c r="I242" s="2819">
        <f t="shared" si="159"/>
        <v>5135</v>
      </c>
      <c r="J242" s="2951">
        <f t="shared" si="159"/>
        <v>0</v>
      </c>
      <c r="K242" s="2951">
        <f t="shared" si="159"/>
        <v>0</v>
      </c>
      <c r="L242" s="2951">
        <f t="shared" si="159"/>
        <v>0</v>
      </c>
      <c r="M242" s="2935">
        <f t="shared" si="158"/>
        <v>191898</v>
      </c>
      <c r="N242" s="3265"/>
    </row>
    <row r="243" spans="1:14" s="262" customFormat="1" ht="15" hidden="1" customHeight="1">
      <c r="A243" s="3435"/>
      <c r="B243" s="2952" t="s">
        <v>520</v>
      </c>
      <c r="C243" s="3149"/>
      <c r="D243" s="2819">
        <f>SUM(E243:L243)</f>
        <v>156108</v>
      </c>
      <c r="E243" s="2953">
        <v>0</v>
      </c>
      <c r="F243" s="2940">
        <v>3150</v>
      </c>
      <c r="G243" s="2940">
        <v>66665</v>
      </c>
      <c r="H243" s="2940">
        <v>82100</v>
      </c>
      <c r="I243" s="2940">
        <v>4193</v>
      </c>
      <c r="J243" s="2954">
        <v>0</v>
      </c>
      <c r="K243" s="2954">
        <v>0</v>
      </c>
      <c r="L243" s="2954">
        <v>0</v>
      </c>
      <c r="M243" s="2935">
        <f t="shared" si="158"/>
        <v>156108</v>
      </c>
      <c r="N243" s="3265"/>
    </row>
    <row r="244" spans="1:14" s="262" customFormat="1" ht="15" hidden="1" customHeight="1">
      <c r="A244" s="3435"/>
      <c r="B244" s="2952" t="s">
        <v>326</v>
      </c>
      <c r="C244" s="3149"/>
      <c r="D244" s="2819">
        <f>SUM(E244:L244)</f>
        <v>35790</v>
      </c>
      <c r="E244" s="2953">
        <v>0</v>
      </c>
      <c r="F244" s="2940">
        <v>724</v>
      </c>
      <c r="G244" s="2940">
        <v>15287</v>
      </c>
      <c r="H244" s="2940">
        <v>18837</v>
      </c>
      <c r="I244" s="2940">
        <v>942</v>
      </c>
      <c r="J244" s="2954">
        <v>0</v>
      </c>
      <c r="K244" s="2954">
        <v>0</v>
      </c>
      <c r="L244" s="2954">
        <v>0</v>
      </c>
      <c r="M244" s="2935">
        <f t="shared" si="158"/>
        <v>35790</v>
      </c>
      <c r="N244" s="3265"/>
    </row>
    <row r="245" spans="1:14" s="262" customFormat="1" ht="15" customHeight="1">
      <c r="A245" s="3435"/>
      <c r="B245" s="2942" t="s">
        <v>18</v>
      </c>
      <c r="C245" s="3149"/>
      <c r="D245" s="2937">
        <f>SUM(E245:L245)</f>
        <v>1084602</v>
      </c>
      <c r="E245" s="2937">
        <f t="shared" ref="E245:L245" si="160">SUM(E246)</f>
        <v>0</v>
      </c>
      <c r="F245" s="2937">
        <f t="shared" si="160"/>
        <v>21956</v>
      </c>
      <c r="G245" s="2937">
        <f t="shared" si="160"/>
        <v>463261</v>
      </c>
      <c r="H245" s="2937">
        <f t="shared" si="160"/>
        <v>570843</v>
      </c>
      <c r="I245" s="2937">
        <f t="shared" si="160"/>
        <v>28542</v>
      </c>
      <c r="J245" s="2950">
        <f t="shared" si="160"/>
        <v>0</v>
      </c>
      <c r="K245" s="2950">
        <f t="shared" si="160"/>
        <v>0</v>
      </c>
      <c r="L245" s="2950">
        <f t="shared" si="160"/>
        <v>0</v>
      </c>
      <c r="M245" s="2935">
        <f t="shared" si="158"/>
        <v>1084602</v>
      </c>
      <c r="N245" s="3265"/>
    </row>
    <row r="246" spans="1:14" s="262" customFormat="1" ht="15" customHeight="1">
      <c r="A246" s="3435"/>
      <c r="B246" s="315" t="s">
        <v>21</v>
      </c>
      <c r="C246" s="3149"/>
      <c r="D246" s="2819">
        <f>E246+F246+G246+H246+I246+J246+K246+L246</f>
        <v>1084602</v>
      </c>
      <c r="E246" s="2819">
        <v>0</v>
      </c>
      <c r="F246" s="2955">
        <f t="shared" ref="F246:L246" si="161">SUM(F247:F248)</f>
        <v>21956</v>
      </c>
      <c r="G246" s="2955">
        <f t="shared" si="161"/>
        <v>463261</v>
      </c>
      <c r="H246" s="2955">
        <f t="shared" si="161"/>
        <v>570843</v>
      </c>
      <c r="I246" s="2955">
        <f t="shared" si="161"/>
        <v>28542</v>
      </c>
      <c r="J246" s="2956">
        <f t="shared" si="161"/>
        <v>0</v>
      </c>
      <c r="K246" s="2956">
        <f t="shared" si="161"/>
        <v>0</v>
      </c>
      <c r="L246" s="2956">
        <f t="shared" si="161"/>
        <v>0</v>
      </c>
      <c r="M246" s="2935">
        <f t="shared" si="158"/>
        <v>1084602</v>
      </c>
      <c r="N246" s="3265"/>
    </row>
    <row r="247" spans="1:14" s="262" customFormat="1" ht="15" hidden="1" customHeight="1">
      <c r="A247" s="3697"/>
      <c r="B247" s="2462" t="s">
        <v>520</v>
      </c>
      <c r="C247" s="3698"/>
      <c r="D247" s="2957">
        <f>SUM(E247:L247)</f>
        <v>881790</v>
      </c>
      <c r="E247" s="2958">
        <v>0</v>
      </c>
      <c r="F247" s="2959">
        <v>17850</v>
      </c>
      <c r="G247" s="2959">
        <v>376635</v>
      </c>
      <c r="H247" s="2959">
        <v>464100</v>
      </c>
      <c r="I247" s="2959">
        <v>23205</v>
      </c>
      <c r="J247" s="2960">
        <v>0</v>
      </c>
      <c r="K247" s="2960">
        <v>0</v>
      </c>
      <c r="L247" s="2960">
        <v>0</v>
      </c>
      <c r="M247" s="2935">
        <f t="shared" si="158"/>
        <v>881790</v>
      </c>
      <c r="N247" s="3265"/>
    </row>
    <row r="248" spans="1:14" s="262" customFormat="1" ht="15" hidden="1" customHeight="1">
      <c r="A248" s="3697"/>
      <c r="B248" s="2466" t="s">
        <v>326</v>
      </c>
      <c r="C248" s="3699"/>
      <c r="D248" s="2819">
        <f>SUM(E248:L248)</f>
        <v>202812</v>
      </c>
      <c r="E248" s="2961">
        <v>0</v>
      </c>
      <c r="F248" s="2962">
        <v>4106</v>
      </c>
      <c r="G248" s="2962">
        <v>86626</v>
      </c>
      <c r="H248" s="2962">
        <v>106743</v>
      </c>
      <c r="I248" s="2962">
        <v>5337</v>
      </c>
      <c r="J248" s="2960">
        <v>0</v>
      </c>
      <c r="K248" s="2960">
        <v>0</v>
      </c>
      <c r="L248" s="2960">
        <v>0</v>
      </c>
      <c r="M248" s="2935">
        <f t="shared" si="158"/>
        <v>202812</v>
      </c>
      <c r="N248" s="3659"/>
    </row>
    <row r="249" spans="1:14" s="262" customFormat="1" ht="15" customHeight="1">
      <c r="A249" s="3435"/>
      <c r="B249" s="91" t="s">
        <v>22</v>
      </c>
      <c r="C249" s="2933"/>
      <c r="D249" s="2934">
        <f>SUM(E249:L249)</f>
        <v>1084602</v>
      </c>
      <c r="E249" s="2934">
        <f t="shared" ref="E249:L249" si="162">+E250</f>
        <v>0</v>
      </c>
      <c r="F249" s="2949">
        <f t="shared" si="162"/>
        <v>0</v>
      </c>
      <c r="G249" s="2934">
        <f t="shared" si="162"/>
        <v>253586</v>
      </c>
      <c r="H249" s="2934">
        <f t="shared" si="162"/>
        <v>517052</v>
      </c>
      <c r="I249" s="2934">
        <f t="shared" si="162"/>
        <v>313964</v>
      </c>
      <c r="J249" s="2949">
        <f t="shared" si="162"/>
        <v>0</v>
      </c>
      <c r="K249" s="2949">
        <f t="shared" si="162"/>
        <v>0</v>
      </c>
      <c r="L249" s="2949">
        <f t="shared" si="162"/>
        <v>0</v>
      </c>
      <c r="M249" s="3195"/>
      <c r="N249" s="3700" t="s">
        <v>249</v>
      </c>
    </row>
    <row r="250" spans="1:14" s="262" customFormat="1" ht="15" customHeight="1">
      <c r="A250" s="3435"/>
      <c r="B250" s="783" t="s">
        <v>18</v>
      </c>
      <c r="C250" s="3241" t="s">
        <v>189</v>
      </c>
      <c r="D250" s="2937">
        <f>SUM(E250:L250)</f>
        <v>1084602</v>
      </c>
      <c r="E250" s="2937">
        <f t="shared" ref="E250:L250" si="163">SUM(E251)</f>
        <v>0</v>
      </c>
      <c r="F250" s="2950">
        <f t="shared" si="163"/>
        <v>0</v>
      </c>
      <c r="G250" s="2937">
        <f t="shared" si="163"/>
        <v>253586</v>
      </c>
      <c r="H250" s="2937">
        <f t="shared" si="163"/>
        <v>517052</v>
      </c>
      <c r="I250" s="2937">
        <f t="shared" si="163"/>
        <v>313964</v>
      </c>
      <c r="J250" s="2950">
        <f t="shared" si="163"/>
        <v>0</v>
      </c>
      <c r="K250" s="2950">
        <f t="shared" si="163"/>
        <v>0</v>
      </c>
      <c r="L250" s="2950">
        <f t="shared" si="163"/>
        <v>0</v>
      </c>
      <c r="M250" s="3122"/>
      <c r="N250" s="3265"/>
    </row>
    <row r="251" spans="1:14" s="262" customFormat="1" ht="15" customHeight="1" thickBot="1">
      <c r="A251" s="3436"/>
      <c r="B251" s="3017" t="s">
        <v>21</v>
      </c>
      <c r="C251" s="3120"/>
      <c r="D251" s="1337">
        <f>E251+F251+G251+H251+I251+J251+K251+L251</f>
        <v>1084602</v>
      </c>
      <c r="E251" s="1337">
        <v>0</v>
      </c>
      <c r="F251" s="2963">
        <v>0</v>
      </c>
      <c r="G251" s="620">
        <v>253586</v>
      </c>
      <c r="H251" s="620">
        <v>517052</v>
      </c>
      <c r="I251" s="620">
        <v>313964</v>
      </c>
      <c r="J251" s="2963">
        <v>0</v>
      </c>
      <c r="K251" s="2963">
        <v>0</v>
      </c>
      <c r="L251" s="2963">
        <v>0</v>
      </c>
      <c r="M251" s="3123"/>
      <c r="N251" s="3266"/>
    </row>
    <row r="252" spans="1:14" ht="23.25" customHeight="1" thickBot="1">
      <c r="A252" s="217" t="s">
        <v>192</v>
      </c>
      <c r="B252" s="1136"/>
      <c r="C252" s="1136"/>
      <c r="D252" s="1136"/>
      <c r="E252" s="1136"/>
      <c r="F252" s="1136"/>
      <c r="G252" s="1136"/>
      <c r="H252" s="1136"/>
      <c r="I252" s="1136"/>
      <c r="J252" s="1136"/>
      <c r="K252" s="1136"/>
      <c r="L252" s="1136"/>
      <c r="M252" s="1137"/>
      <c r="N252" s="1138"/>
    </row>
    <row r="253" spans="1:14" ht="18.75" customHeight="1">
      <c r="A253" s="1139"/>
      <c r="B253" s="238" t="s">
        <v>76</v>
      </c>
      <c r="C253" s="623"/>
      <c r="D253" s="240">
        <f>+D254+D255</f>
        <v>16198501</v>
      </c>
      <c r="E253" s="240">
        <f t="shared" ref="E253:F253" si="164">+E254+E255</f>
        <v>7742800</v>
      </c>
      <c r="F253" s="240">
        <f t="shared" si="164"/>
        <v>2600000</v>
      </c>
      <c r="G253" s="240">
        <f t="shared" ref="G253:M253" si="165">+G254+G255</f>
        <v>2647000</v>
      </c>
      <c r="H253" s="240">
        <f t="shared" si="165"/>
        <v>2788899</v>
      </c>
      <c r="I253" s="240">
        <f t="shared" si="165"/>
        <v>83899</v>
      </c>
      <c r="J253" s="240">
        <f t="shared" si="165"/>
        <v>97429</v>
      </c>
      <c r="K253" s="240">
        <f t="shared" si="165"/>
        <v>113579</v>
      </c>
      <c r="L253" s="240">
        <f t="shared" si="165"/>
        <v>124895</v>
      </c>
      <c r="M253" s="16">
        <f t="shared" si="165"/>
        <v>8455701</v>
      </c>
      <c r="N253" s="3516"/>
    </row>
    <row r="254" spans="1:14" ht="14.25" customHeight="1">
      <c r="A254" s="825"/>
      <c r="B254" s="241" t="s">
        <v>77</v>
      </c>
      <c r="C254" s="243"/>
      <c r="D254" s="243">
        <f>D265+D269</f>
        <v>16198501</v>
      </c>
      <c r="E254" s="243">
        <f t="shared" ref="E254:L254" si="166">E265+E269</f>
        <v>7742800</v>
      </c>
      <c r="F254" s="243">
        <f t="shared" si="166"/>
        <v>2600000</v>
      </c>
      <c r="G254" s="243">
        <f t="shared" si="166"/>
        <v>2647000</v>
      </c>
      <c r="H254" s="243">
        <f t="shared" si="166"/>
        <v>2788899</v>
      </c>
      <c r="I254" s="243">
        <f t="shared" si="166"/>
        <v>83899</v>
      </c>
      <c r="J254" s="243">
        <f t="shared" si="166"/>
        <v>97429</v>
      </c>
      <c r="K254" s="243">
        <f t="shared" si="166"/>
        <v>113579</v>
      </c>
      <c r="L254" s="243">
        <f t="shared" si="166"/>
        <v>124895</v>
      </c>
      <c r="M254" s="18">
        <f>SUM(F254:L254)</f>
        <v>8455701</v>
      </c>
      <c r="N254" s="3517"/>
    </row>
    <row r="255" spans="1:14" ht="14.25" customHeight="1" thickBot="1">
      <c r="A255" s="825"/>
      <c r="B255" s="1140" t="s">
        <v>9</v>
      </c>
      <c r="C255" s="1112"/>
      <c r="D255" s="1112">
        <v>0</v>
      </c>
      <c r="E255" s="1112">
        <v>0</v>
      </c>
      <c r="F255" s="1112">
        <v>0</v>
      </c>
      <c r="G255" s="1112">
        <v>0</v>
      </c>
      <c r="H255" s="1112">
        <v>0</v>
      </c>
      <c r="I255" s="1112">
        <f>+I265</f>
        <v>0</v>
      </c>
      <c r="J255" s="1112">
        <f>+J265</f>
        <v>0</v>
      </c>
      <c r="K255" s="1112">
        <f>+K265</f>
        <v>0</v>
      </c>
      <c r="L255" s="1112">
        <f>+L265</f>
        <v>0</v>
      </c>
      <c r="M255" s="170">
        <f>SUM(F255:L255)</f>
        <v>0</v>
      </c>
      <c r="N255" s="3517"/>
    </row>
    <row r="256" spans="1:14" ht="16.5" customHeight="1">
      <c r="A256" s="437"/>
      <c r="B256" s="91" t="s">
        <v>10</v>
      </c>
      <c r="C256" s="209"/>
      <c r="D256" s="220">
        <f>+D257</f>
        <v>16198501</v>
      </c>
      <c r="E256" s="220">
        <f t="shared" ref="D256:L256" si="167">+E257</f>
        <v>7742800</v>
      </c>
      <c r="F256" s="220">
        <f t="shared" si="167"/>
        <v>2600000</v>
      </c>
      <c r="G256" s="220">
        <f t="shared" si="167"/>
        <v>2647000</v>
      </c>
      <c r="H256" s="220">
        <f t="shared" si="167"/>
        <v>2788899</v>
      </c>
      <c r="I256" s="220">
        <f t="shared" si="167"/>
        <v>83899</v>
      </c>
      <c r="J256" s="220">
        <f t="shared" si="167"/>
        <v>97429</v>
      </c>
      <c r="K256" s="220">
        <f t="shared" si="167"/>
        <v>113579</v>
      </c>
      <c r="L256" s="220">
        <f t="shared" si="167"/>
        <v>124895</v>
      </c>
      <c r="M256" s="438">
        <f>+M257</f>
        <v>8455701</v>
      </c>
      <c r="N256" s="3517"/>
    </row>
    <row r="257" spans="1:14" ht="15" customHeight="1">
      <c r="A257" s="221"/>
      <c r="B257" s="175" t="s">
        <v>11</v>
      </c>
      <c r="C257" s="3519" t="s">
        <v>61</v>
      </c>
      <c r="D257" s="1507">
        <f>+D260+D258</f>
        <v>16198501</v>
      </c>
      <c r="E257" s="1507">
        <f t="shared" ref="E257:L257" si="168">+E260+E258</f>
        <v>7742800</v>
      </c>
      <c r="F257" s="1507">
        <f t="shared" si="168"/>
        <v>2600000</v>
      </c>
      <c r="G257" s="1507">
        <f t="shared" si="168"/>
        <v>2647000</v>
      </c>
      <c r="H257" s="1507">
        <f t="shared" si="168"/>
        <v>2788899</v>
      </c>
      <c r="I257" s="1507">
        <f t="shared" si="168"/>
        <v>83899</v>
      </c>
      <c r="J257" s="1507">
        <f t="shared" si="168"/>
        <v>97429</v>
      </c>
      <c r="K257" s="1507">
        <f t="shared" si="168"/>
        <v>113579</v>
      </c>
      <c r="L257" s="1507">
        <f t="shared" si="168"/>
        <v>124895</v>
      </c>
      <c r="M257" s="804">
        <f>M258+M260</f>
        <v>8455701</v>
      </c>
      <c r="N257" s="3517"/>
    </row>
    <row r="258" spans="1:14" s="1839" customFormat="1" ht="14.25" customHeight="1">
      <c r="A258" s="221"/>
      <c r="B258" s="1838" t="s">
        <v>12</v>
      </c>
      <c r="C258" s="3520"/>
      <c r="D258" s="918">
        <f>D271</f>
        <v>503701</v>
      </c>
      <c r="E258" s="918">
        <f t="shared" ref="E258:L258" si="169">E271</f>
        <v>0</v>
      </c>
      <c r="F258" s="918">
        <f t="shared" si="169"/>
        <v>0</v>
      </c>
      <c r="G258" s="918">
        <f t="shared" si="169"/>
        <v>0</v>
      </c>
      <c r="H258" s="918">
        <f t="shared" si="169"/>
        <v>83899</v>
      </c>
      <c r="I258" s="918">
        <f t="shared" si="169"/>
        <v>83899</v>
      </c>
      <c r="J258" s="918">
        <f t="shared" si="169"/>
        <v>97429</v>
      </c>
      <c r="K258" s="918">
        <f t="shared" si="169"/>
        <v>113579</v>
      </c>
      <c r="L258" s="918">
        <f t="shared" si="169"/>
        <v>124895</v>
      </c>
      <c r="M258" s="3773">
        <f>SUM(F258:L258)</f>
        <v>503701</v>
      </c>
      <c r="N258" s="3517"/>
    </row>
    <row r="259" spans="1:14" ht="19.5" hidden="1" customHeight="1">
      <c r="A259" s="221"/>
      <c r="B259" s="178" t="s">
        <v>62</v>
      </c>
      <c r="C259" s="3520"/>
      <c r="D259" s="1509"/>
      <c r="E259" s="1915">
        <f t="shared" ref="E259:L259" si="170">E275</f>
        <v>0</v>
      </c>
      <c r="F259" s="1915">
        <f t="shared" si="170"/>
        <v>0</v>
      </c>
      <c r="G259" s="1915">
        <f t="shared" si="170"/>
        <v>0</v>
      </c>
      <c r="H259" s="1915">
        <f t="shared" si="170"/>
        <v>0</v>
      </c>
      <c r="I259" s="1915">
        <f t="shared" si="170"/>
        <v>0</v>
      </c>
      <c r="J259" s="1915">
        <f t="shared" si="170"/>
        <v>0</v>
      </c>
      <c r="K259" s="1915">
        <f t="shared" si="170"/>
        <v>0</v>
      </c>
      <c r="L259" s="1915">
        <f t="shared" si="170"/>
        <v>0</v>
      </c>
      <c r="M259" s="3774">
        <f>M275</f>
        <v>0</v>
      </c>
      <c r="N259" s="3517"/>
    </row>
    <row r="260" spans="1:14" ht="15.75" customHeight="1">
      <c r="A260" s="1141"/>
      <c r="B260" s="178" t="s">
        <v>195</v>
      </c>
      <c r="C260" s="3520"/>
      <c r="D260" s="1509">
        <f t="shared" ref="D259:E260" si="171">+D267+D275</f>
        <v>15694800</v>
      </c>
      <c r="E260" s="1509">
        <f t="shared" si="171"/>
        <v>7742800</v>
      </c>
      <c r="F260" s="1509">
        <f t="shared" ref="F260:I260" si="172">+F267</f>
        <v>2600000</v>
      </c>
      <c r="G260" s="1509">
        <f t="shared" si="172"/>
        <v>2647000</v>
      </c>
      <c r="H260" s="1509">
        <f t="shared" si="172"/>
        <v>2705000</v>
      </c>
      <c r="I260" s="1509">
        <f t="shared" si="172"/>
        <v>0</v>
      </c>
      <c r="J260" s="1509">
        <f>+J267</f>
        <v>0</v>
      </c>
      <c r="K260" s="1509">
        <f>+K267</f>
        <v>0</v>
      </c>
      <c r="L260" s="1509">
        <f>+L267</f>
        <v>0</v>
      </c>
      <c r="M260" s="3773">
        <f>SUM(F260:L260)</f>
        <v>7952000</v>
      </c>
      <c r="N260" s="3517"/>
    </row>
    <row r="261" spans="1:14" ht="15" customHeight="1">
      <c r="A261" s="751"/>
      <c r="B261" s="223" t="s">
        <v>22</v>
      </c>
      <c r="C261" s="1105"/>
      <c r="D261" s="983">
        <f t="shared" ref="D261:I262" si="173">D262</f>
        <v>503701</v>
      </c>
      <c r="E261" s="983">
        <f t="shared" si="173"/>
        <v>0</v>
      </c>
      <c r="F261" s="983">
        <f t="shared" si="173"/>
        <v>0</v>
      </c>
      <c r="G261" s="983">
        <f t="shared" si="173"/>
        <v>0</v>
      </c>
      <c r="H261" s="983">
        <f t="shared" si="173"/>
        <v>0</v>
      </c>
      <c r="I261" s="983">
        <f t="shared" si="173"/>
        <v>0</v>
      </c>
      <c r="J261" s="983">
        <f t="shared" ref="J261:L262" si="174">J262</f>
        <v>0</v>
      </c>
      <c r="K261" s="983">
        <f t="shared" si="174"/>
        <v>0</v>
      </c>
      <c r="L261" s="983">
        <f t="shared" si="174"/>
        <v>0</v>
      </c>
      <c r="M261" s="3122" t="s">
        <v>61</v>
      </c>
      <c r="N261" s="3517"/>
    </row>
    <row r="262" spans="1:14" ht="13.5" customHeight="1">
      <c r="A262" s="751"/>
      <c r="B262" s="1916" t="s">
        <v>11</v>
      </c>
      <c r="C262" s="1917"/>
      <c r="D262" s="1918">
        <f t="shared" si="173"/>
        <v>503701</v>
      </c>
      <c r="E262" s="1918">
        <f t="shared" si="173"/>
        <v>0</v>
      </c>
      <c r="F262" s="1918">
        <f t="shared" si="173"/>
        <v>0</v>
      </c>
      <c r="G262" s="1918">
        <f t="shared" si="173"/>
        <v>0</v>
      </c>
      <c r="H262" s="1918">
        <f t="shared" si="173"/>
        <v>0</v>
      </c>
      <c r="I262" s="1918">
        <f t="shared" si="173"/>
        <v>0</v>
      </c>
      <c r="J262" s="1918">
        <f t="shared" si="174"/>
        <v>0</v>
      </c>
      <c r="K262" s="1918">
        <f t="shared" si="174"/>
        <v>0</v>
      </c>
      <c r="L262" s="1918">
        <f t="shared" si="174"/>
        <v>0</v>
      </c>
      <c r="M262" s="3122"/>
      <c r="N262" s="3517"/>
    </row>
    <row r="263" spans="1:14" ht="17.25" customHeight="1" thickBot="1">
      <c r="A263" s="1117"/>
      <c r="B263" s="1919" t="s">
        <v>62</v>
      </c>
      <c r="C263" s="624"/>
      <c r="D263" s="1509">
        <f t="shared" ref="D263" si="175">+D270+D278</f>
        <v>503701</v>
      </c>
      <c r="E263" s="1920">
        <f t="shared" ref="E263:G263" si="176">E277+E295+E302+E309+E316+E286+E323+E330+E337+E344</f>
        <v>0</v>
      </c>
      <c r="F263" s="1920">
        <f t="shared" si="176"/>
        <v>0</v>
      </c>
      <c r="G263" s="1920">
        <f t="shared" si="176"/>
        <v>0</v>
      </c>
      <c r="H263" s="1920">
        <f>H278</f>
        <v>0</v>
      </c>
      <c r="I263" s="1920">
        <f>I278</f>
        <v>0</v>
      </c>
      <c r="J263" s="1920">
        <f>J278</f>
        <v>0</v>
      </c>
      <c r="K263" s="1920">
        <f>K278</f>
        <v>0</v>
      </c>
      <c r="L263" s="1920">
        <f>L278</f>
        <v>0</v>
      </c>
      <c r="M263" s="3123"/>
      <c r="N263" s="3518"/>
    </row>
    <row r="264" spans="1:14" ht="39.75" customHeight="1">
      <c r="A264" s="3694" t="s">
        <v>63</v>
      </c>
      <c r="B264" s="204" t="s">
        <v>373</v>
      </c>
      <c r="C264" s="3007" t="s">
        <v>191</v>
      </c>
      <c r="D264" s="1119"/>
      <c r="E264" s="1120"/>
      <c r="F264" s="1121"/>
      <c r="G264" s="1121"/>
      <c r="H264" s="1121"/>
      <c r="I264" s="1120"/>
      <c r="J264" s="1120"/>
      <c r="K264" s="1120"/>
      <c r="L264" s="1120"/>
      <c r="M264" s="1122"/>
      <c r="N264" s="3264" t="s">
        <v>193</v>
      </c>
    </row>
    <row r="265" spans="1:14" ht="15.75" customHeight="1">
      <c r="A265" s="3695"/>
      <c r="B265" s="826" t="s">
        <v>10</v>
      </c>
      <c r="C265" s="1105"/>
      <c r="D265" s="982">
        <f t="shared" ref="D265:M266" si="177">+D266</f>
        <v>15694800</v>
      </c>
      <c r="E265" s="982">
        <f t="shared" si="177"/>
        <v>7742800</v>
      </c>
      <c r="F265" s="982">
        <f t="shared" si="177"/>
        <v>2600000</v>
      </c>
      <c r="G265" s="982">
        <f t="shared" si="177"/>
        <v>2647000</v>
      </c>
      <c r="H265" s="982">
        <f t="shared" si="177"/>
        <v>2705000</v>
      </c>
      <c r="I265" s="982">
        <f t="shared" si="177"/>
        <v>0</v>
      </c>
      <c r="J265" s="982">
        <f t="shared" si="177"/>
        <v>0</v>
      </c>
      <c r="K265" s="982">
        <f t="shared" si="177"/>
        <v>0</v>
      </c>
      <c r="L265" s="982">
        <f t="shared" si="177"/>
        <v>0</v>
      </c>
      <c r="M265" s="803">
        <f t="shared" si="177"/>
        <v>7952000</v>
      </c>
      <c r="N265" s="3265"/>
    </row>
    <row r="266" spans="1:14" ht="15" customHeight="1">
      <c r="A266" s="3695"/>
      <c r="B266" s="1401" t="s">
        <v>24</v>
      </c>
      <c r="C266" s="3106" t="s">
        <v>194</v>
      </c>
      <c r="D266" s="1834">
        <f t="shared" si="177"/>
        <v>15694800</v>
      </c>
      <c r="E266" s="1834">
        <f t="shared" si="177"/>
        <v>7742800</v>
      </c>
      <c r="F266" s="1835">
        <f t="shared" ref="F266:H266" si="178">F267</f>
        <v>2600000</v>
      </c>
      <c r="G266" s="1835">
        <f t="shared" si="178"/>
        <v>2647000</v>
      </c>
      <c r="H266" s="1835">
        <f t="shared" si="178"/>
        <v>2705000</v>
      </c>
      <c r="I266" s="1835">
        <v>0</v>
      </c>
      <c r="J266" s="1835">
        <v>0</v>
      </c>
      <c r="K266" s="1835">
        <v>0</v>
      </c>
      <c r="L266" s="1835">
        <v>0</v>
      </c>
      <c r="M266" s="804">
        <f t="shared" si="177"/>
        <v>7952000</v>
      </c>
      <c r="N266" s="3265"/>
    </row>
    <row r="267" spans="1:14" ht="15" customHeight="1" thickBot="1">
      <c r="A267" s="3696"/>
      <c r="B267" s="259" t="s">
        <v>195</v>
      </c>
      <c r="C267" s="3137"/>
      <c r="D267" s="1336">
        <f>E267+F267+G267+H267+I267+J267+K267+L267</f>
        <v>15694800</v>
      </c>
      <c r="E267" s="1336">
        <v>7742800</v>
      </c>
      <c r="F267" s="660">
        <v>2600000</v>
      </c>
      <c r="G267" s="660">
        <v>2647000</v>
      </c>
      <c r="H267" s="660">
        <v>2705000</v>
      </c>
      <c r="I267" s="660">
        <v>0</v>
      </c>
      <c r="J267" s="660">
        <v>0</v>
      </c>
      <c r="K267" s="660">
        <v>0</v>
      </c>
      <c r="L267" s="660">
        <v>0</v>
      </c>
      <c r="M267" s="3772">
        <f>SUM(F267:L267)</f>
        <v>7952000</v>
      </c>
      <c r="N267" s="3266"/>
    </row>
    <row r="268" spans="1:14" ht="36" customHeight="1">
      <c r="A268" s="3129" t="s">
        <v>64</v>
      </c>
      <c r="B268" s="1007" t="s">
        <v>425</v>
      </c>
      <c r="C268" s="1044" t="s">
        <v>111</v>
      </c>
      <c r="D268" s="1044"/>
      <c r="E268" s="94"/>
      <c r="F268" s="1049"/>
      <c r="G268" s="1049"/>
      <c r="H268" s="1049"/>
      <c r="I268" s="1049"/>
      <c r="J268" s="1049"/>
      <c r="K268" s="1049"/>
      <c r="L268" s="1049"/>
      <c r="M268" s="1009"/>
      <c r="N268" s="3596" t="s">
        <v>428</v>
      </c>
    </row>
    <row r="269" spans="1:14" ht="15" customHeight="1">
      <c r="A269" s="3129"/>
      <c r="B269" s="826" t="s">
        <v>10</v>
      </c>
      <c r="C269" s="1047"/>
      <c r="D269" s="982">
        <f>D270</f>
        <v>503701</v>
      </c>
      <c r="E269" s="1106">
        <f t="shared" ref="E269:L270" si="179">E270</f>
        <v>0</v>
      </c>
      <c r="F269" s="1106">
        <f t="shared" si="179"/>
        <v>0</v>
      </c>
      <c r="G269" s="1106">
        <f t="shared" si="179"/>
        <v>0</v>
      </c>
      <c r="H269" s="982">
        <f t="shared" si="179"/>
        <v>83899</v>
      </c>
      <c r="I269" s="982">
        <f t="shared" si="179"/>
        <v>83899</v>
      </c>
      <c r="J269" s="982">
        <f t="shared" si="179"/>
        <v>97429</v>
      </c>
      <c r="K269" s="982">
        <f t="shared" si="179"/>
        <v>113579</v>
      </c>
      <c r="L269" s="983">
        <f t="shared" si="179"/>
        <v>124895</v>
      </c>
      <c r="M269" s="1028">
        <f>M270</f>
        <v>503701</v>
      </c>
      <c r="N269" s="3596"/>
    </row>
    <row r="270" spans="1:14" ht="15" customHeight="1">
      <c r="A270" s="3129"/>
      <c r="B270" s="985" t="s">
        <v>11</v>
      </c>
      <c r="C270" s="3598" t="s">
        <v>189</v>
      </c>
      <c r="D270" s="987">
        <f>D271</f>
        <v>503701</v>
      </c>
      <c r="E270" s="1016">
        <f t="shared" si="179"/>
        <v>0</v>
      </c>
      <c r="F270" s="1016">
        <f t="shared" si="179"/>
        <v>0</v>
      </c>
      <c r="G270" s="1016">
        <f t="shared" si="179"/>
        <v>0</v>
      </c>
      <c r="H270" s="987">
        <f t="shared" si="179"/>
        <v>83899</v>
      </c>
      <c r="I270" s="987">
        <f t="shared" si="179"/>
        <v>83899</v>
      </c>
      <c r="J270" s="987">
        <f t="shared" si="179"/>
        <v>97429</v>
      </c>
      <c r="K270" s="987">
        <f t="shared" si="179"/>
        <v>113579</v>
      </c>
      <c r="L270" s="987">
        <f t="shared" si="179"/>
        <v>124895</v>
      </c>
      <c r="M270" s="1031">
        <f>M271</f>
        <v>503701</v>
      </c>
      <c r="N270" s="3596"/>
    </row>
    <row r="271" spans="1:14" ht="15" customHeight="1" thickBot="1">
      <c r="A271" s="3130"/>
      <c r="B271" s="90" t="s">
        <v>12</v>
      </c>
      <c r="C271" s="3606"/>
      <c r="D271" s="1336">
        <f>E271+F271+G271+H271+I271+J271+K271+L271</f>
        <v>503701</v>
      </c>
      <c r="E271" s="789">
        <v>0</v>
      </c>
      <c r="F271" s="1831">
        <v>0</v>
      </c>
      <c r="G271" s="1831">
        <v>0</v>
      </c>
      <c r="H271" s="1832">
        <v>83899</v>
      </c>
      <c r="I271" s="1832">
        <v>83899</v>
      </c>
      <c r="J271" s="1832">
        <v>97429</v>
      </c>
      <c r="K271" s="1832">
        <v>113579</v>
      </c>
      <c r="L271" s="1832">
        <v>124895</v>
      </c>
      <c r="M271" s="1833">
        <f>SUM(F271:L271)</f>
        <v>503701</v>
      </c>
      <c r="N271" s="3597"/>
    </row>
    <row r="272" spans="1:14" ht="40.5" hidden="1" customHeight="1">
      <c r="A272" s="3688" t="s">
        <v>65</v>
      </c>
      <c r="B272" s="302"/>
      <c r="C272" s="293" t="s">
        <v>191</v>
      </c>
      <c r="D272" s="1142"/>
      <c r="E272" s="1143"/>
      <c r="F272" s="1144"/>
      <c r="G272" s="1144"/>
      <c r="H272" s="1144"/>
      <c r="I272" s="1143"/>
      <c r="J272" s="1143"/>
      <c r="K272" s="1143"/>
      <c r="L272" s="1143"/>
      <c r="M272" s="1145"/>
      <c r="N272" s="3689" t="s">
        <v>241</v>
      </c>
    </row>
    <row r="273" spans="1:14" ht="17.25" hidden="1" customHeight="1">
      <c r="A273" s="3688"/>
      <c r="B273" s="153" t="s">
        <v>10</v>
      </c>
      <c r="C273" s="153"/>
      <c r="D273" s="264"/>
      <c r="E273" s="264"/>
      <c r="F273" s="304"/>
      <c r="G273" s="303">
        <f t="shared" ref="G273:M273" si="180">+G274</f>
        <v>0</v>
      </c>
      <c r="H273" s="303">
        <f t="shared" si="180"/>
        <v>0</v>
      </c>
      <c r="I273" s="304">
        <f t="shared" si="180"/>
        <v>0</v>
      </c>
      <c r="J273" s="304"/>
      <c r="K273" s="304"/>
      <c r="L273" s="304"/>
      <c r="M273" s="71">
        <f t="shared" si="180"/>
        <v>0</v>
      </c>
      <c r="N273" s="3689"/>
    </row>
    <row r="274" spans="1:14" ht="16.5" hidden="1" customHeight="1">
      <c r="A274" s="3688"/>
      <c r="B274" s="193" t="s">
        <v>242</v>
      </c>
      <c r="C274" s="3690" t="s">
        <v>240</v>
      </c>
      <c r="D274" s="305"/>
      <c r="E274" s="306"/>
      <c r="F274" s="306"/>
      <c r="G274" s="306">
        <f>G275</f>
        <v>0</v>
      </c>
      <c r="H274" s="306">
        <f>H275</f>
        <v>0</v>
      </c>
      <c r="I274" s="307">
        <f>I275</f>
        <v>0</v>
      </c>
      <c r="J274" s="307"/>
      <c r="K274" s="307"/>
      <c r="L274" s="307"/>
      <c r="M274" s="88">
        <f>+M275</f>
        <v>0</v>
      </c>
      <c r="N274" s="3689"/>
    </row>
    <row r="275" spans="1:14" ht="13.5" hidden="1" customHeight="1">
      <c r="A275" s="3688"/>
      <c r="B275" s="308" t="s">
        <v>62</v>
      </c>
      <c r="C275" s="3691"/>
      <c r="D275" s="309"/>
      <c r="E275" s="310"/>
      <c r="F275" s="310"/>
      <c r="G275" s="310">
        <v>0</v>
      </c>
      <c r="H275" s="310">
        <v>0</v>
      </c>
      <c r="I275" s="310">
        <v>0</v>
      </c>
      <c r="J275" s="310"/>
      <c r="K275" s="310"/>
      <c r="L275" s="310"/>
      <c r="M275" s="311"/>
      <c r="N275" s="3689"/>
    </row>
    <row r="276" spans="1:14" ht="15.75" hidden="1" customHeight="1">
      <c r="A276" s="3688"/>
      <c r="B276" s="312" t="s">
        <v>22</v>
      </c>
      <c r="C276" s="22"/>
      <c r="D276" s="32"/>
      <c r="E276" s="224"/>
      <c r="F276" s="224"/>
      <c r="G276" s="224"/>
      <c r="H276" s="224">
        <f t="shared" ref="G276:I277" si="181">H277</f>
        <v>0</v>
      </c>
      <c r="I276" s="224">
        <f t="shared" si="181"/>
        <v>0</v>
      </c>
      <c r="J276" s="1146"/>
      <c r="K276" s="1146"/>
      <c r="L276" s="1146"/>
      <c r="M276" s="3122" t="s">
        <v>61</v>
      </c>
      <c r="N276" s="3689"/>
    </row>
    <row r="277" spans="1:14" ht="16.5" hidden="1" customHeight="1">
      <c r="A277" s="3688"/>
      <c r="B277" s="193" t="s">
        <v>11</v>
      </c>
      <c r="C277" s="3236" t="s">
        <v>240</v>
      </c>
      <c r="D277" s="143"/>
      <c r="E277" s="54"/>
      <c r="F277" s="54"/>
      <c r="G277" s="54">
        <f t="shared" si="181"/>
        <v>0</v>
      </c>
      <c r="H277" s="54">
        <f t="shared" si="181"/>
        <v>0</v>
      </c>
      <c r="I277" s="54">
        <f t="shared" si="181"/>
        <v>0</v>
      </c>
      <c r="J277" s="339"/>
      <c r="K277" s="339"/>
      <c r="L277" s="339"/>
      <c r="M277" s="3122"/>
      <c r="N277" s="3689"/>
    </row>
    <row r="278" spans="1:14" ht="13.5" hidden="1" customHeight="1" thickBot="1">
      <c r="A278" s="3688"/>
      <c r="B278" s="3017" t="s">
        <v>62</v>
      </c>
      <c r="C278" s="3120"/>
      <c r="D278" s="313"/>
      <c r="E278" s="81"/>
      <c r="F278" s="80"/>
      <c r="G278" s="80">
        <v>0</v>
      </c>
      <c r="H278" s="80">
        <v>0</v>
      </c>
      <c r="I278" s="80">
        <v>0</v>
      </c>
      <c r="J278" s="61"/>
      <c r="K278" s="61"/>
      <c r="L278" s="61"/>
      <c r="M278" s="3123"/>
      <c r="N278" s="3689"/>
    </row>
    <row r="279" spans="1:14" ht="17.25" customHeight="1">
      <c r="A279" s="1108" t="s">
        <v>573</v>
      </c>
      <c r="E279" s="865"/>
      <c r="N279" s="1147"/>
    </row>
    <row r="280" spans="1:14" ht="11.25" customHeight="1">
      <c r="A280" s="3687"/>
      <c r="B280" s="3687"/>
      <c r="C280" s="3687"/>
      <c r="D280" s="3687"/>
      <c r="E280" s="3687"/>
      <c r="F280" s="3687"/>
      <c r="G280" s="3687"/>
      <c r="H280" s="3687"/>
      <c r="I280" s="3687"/>
      <c r="J280" s="3687"/>
      <c r="K280" s="3687"/>
      <c r="L280" s="3687"/>
      <c r="M280" s="3687"/>
      <c r="N280" s="3687"/>
    </row>
    <row r="281" spans="1:14">
      <c r="A281" s="3687"/>
      <c r="B281" s="3687"/>
      <c r="C281" s="3687"/>
      <c r="D281" s="3687"/>
      <c r="E281" s="3687"/>
      <c r="F281" s="3687"/>
      <c r="G281" s="3687"/>
      <c r="H281" s="3687"/>
      <c r="I281" s="3687"/>
      <c r="J281" s="3687"/>
      <c r="K281" s="3687"/>
      <c r="L281" s="3687"/>
      <c r="M281" s="3687"/>
      <c r="N281" s="3687"/>
    </row>
    <row r="282" spans="1:14" ht="12.75">
      <c r="B282" s="2005" t="s">
        <v>493</v>
      </c>
      <c r="C282" s="1996"/>
      <c r="D282" s="1996"/>
      <c r="E282" s="1996"/>
      <c r="F282" s="1996"/>
      <c r="G282" s="1996"/>
      <c r="H282" s="1996"/>
      <c r="I282" s="1996"/>
      <c r="J282" s="1996"/>
      <c r="K282" s="1996"/>
      <c r="L282" s="1996"/>
      <c r="N282" s="1147"/>
    </row>
    <row r="283" spans="1:14" ht="12.75">
      <c r="B283" s="1925" t="s">
        <v>494</v>
      </c>
      <c r="C283" s="1996"/>
      <c r="D283" s="2002">
        <f>D149+D174+D196+D205+D227+D249</f>
        <v>2600381</v>
      </c>
      <c r="E283" s="2002">
        <f t="shared" ref="E283:F283" si="182">E149+E174+E196+E205+E227</f>
        <v>0</v>
      </c>
      <c r="F283" s="2002">
        <f t="shared" si="182"/>
        <v>53438</v>
      </c>
      <c r="G283" s="2002">
        <f>G149+G174+G196+G205+G227+G249</f>
        <v>596946</v>
      </c>
      <c r="H283" s="2002">
        <f>H149+H174+H196+H205+H227+H249</f>
        <v>1331191</v>
      </c>
      <c r="I283" s="2002">
        <f>I149+I174+I196+I205+I227+I249</f>
        <v>618806</v>
      </c>
      <c r="J283" s="2002">
        <f>J149+J174+J196+J205</f>
        <v>0</v>
      </c>
      <c r="K283" s="2002">
        <f>K149+K174+K196+K205</f>
        <v>0</v>
      </c>
      <c r="L283" s="2002">
        <f>L149+L174+L196+L205</f>
        <v>0</v>
      </c>
      <c r="N283" s="1147"/>
    </row>
    <row r="284" spans="1:14" ht="12.75">
      <c r="B284" s="1925" t="s">
        <v>495</v>
      </c>
      <c r="C284" s="1996"/>
      <c r="D284" s="2002">
        <f>D104+D113+D122+D131+D140+D159+D183+D214+D236</f>
        <v>87810460</v>
      </c>
      <c r="E284" s="2002">
        <f t="shared" ref="E284:I284" si="183">E104+E113+E122+E131+E140+E159+E183+E214+E236</f>
        <v>0</v>
      </c>
      <c r="F284" s="2002">
        <f t="shared" si="183"/>
        <v>6596308</v>
      </c>
      <c r="G284" s="2002">
        <f>G104+G113+G122+G131+G140+G159+G183+G214+G236</f>
        <v>70987636</v>
      </c>
      <c r="H284" s="2002">
        <f t="shared" si="183"/>
        <v>10051926</v>
      </c>
      <c r="I284" s="2002">
        <f t="shared" si="183"/>
        <v>174590</v>
      </c>
      <c r="J284" s="2002">
        <f>J104+J113+J122+J131+J140+J159+J183+J214</f>
        <v>0</v>
      </c>
      <c r="K284" s="2002">
        <f>K104+K113+K122+K131+K140+K159+K183+K214</f>
        <v>0</v>
      </c>
      <c r="L284" s="2002">
        <f>L104+L113+L122+L131+L140+L159+L183+L214</f>
        <v>0</v>
      </c>
      <c r="N284" s="1147"/>
    </row>
    <row r="285" spans="1:14" ht="12.75">
      <c r="B285" s="1925" t="s">
        <v>496</v>
      </c>
      <c r="C285" s="1996"/>
      <c r="D285" s="2003">
        <f>D283+D284</f>
        <v>90410841</v>
      </c>
      <c r="E285" s="2003">
        <f t="shared" ref="E285:I285" si="184">E283+E284</f>
        <v>0</v>
      </c>
      <c r="F285" s="2003">
        <f t="shared" si="184"/>
        <v>6649746</v>
      </c>
      <c r="G285" s="2003">
        <f t="shared" si="184"/>
        <v>71584582</v>
      </c>
      <c r="H285" s="2003">
        <f t="shared" si="184"/>
        <v>11383117</v>
      </c>
      <c r="I285" s="2003">
        <f t="shared" si="184"/>
        <v>793396</v>
      </c>
      <c r="J285" s="2003">
        <f t="shared" ref="J285:L285" si="185">J283+J284</f>
        <v>0</v>
      </c>
      <c r="K285" s="2003">
        <f t="shared" si="185"/>
        <v>0</v>
      </c>
      <c r="L285" s="2003">
        <f t="shared" si="185"/>
        <v>0</v>
      </c>
      <c r="N285" s="1147"/>
    </row>
    <row r="286" spans="1:14" ht="12.75">
      <c r="B286" s="1999" t="s">
        <v>42</v>
      </c>
      <c r="C286" s="2001"/>
      <c r="D286" s="2004">
        <f t="shared" ref="D286:L286" si="186">D285-D17</f>
        <v>0</v>
      </c>
      <c r="E286" s="2004">
        <f t="shared" si="186"/>
        <v>0</v>
      </c>
      <c r="F286" s="2004">
        <f t="shared" si="186"/>
        <v>0</v>
      </c>
      <c r="G286" s="2004">
        <f t="shared" si="186"/>
        <v>0</v>
      </c>
      <c r="H286" s="2004">
        <f t="shared" si="186"/>
        <v>0</v>
      </c>
      <c r="I286" s="2004">
        <f t="shared" si="186"/>
        <v>0</v>
      </c>
      <c r="J286" s="2004">
        <f t="shared" si="186"/>
        <v>0</v>
      </c>
      <c r="K286" s="2004">
        <f t="shared" si="186"/>
        <v>0</v>
      </c>
      <c r="L286" s="2004">
        <f t="shared" si="186"/>
        <v>0</v>
      </c>
      <c r="N286" s="1147"/>
    </row>
    <row r="287" spans="1:14">
      <c r="E287" s="865"/>
      <c r="N287" s="1147"/>
    </row>
    <row r="288" spans="1:14">
      <c r="E288" s="865"/>
      <c r="N288" s="1147"/>
    </row>
    <row r="289" spans="5:14">
      <c r="E289" s="865"/>
      <c r="N289" s="1147"/>
    </row>
    <row r="290" spans="5:14">
      <c r="E290" s="865"/>
      <c r="N290" s="1147"/>
    </row>
    <row r="291" spans="5:14">
      <c r="E291" s="865"/>
      <c r="N291" s="1147"/>
    </row>
    <row r="292" spans="5:14">
      <c r="E292" s="865"/>
      <c r="N292" s="1147"/>
    </row>
    <row r="293" spans="5:14">
      <c r="E293" s="865"/>
      <c r="N293" s="1147"/>
    </row>
    <row r="294" spans="5:14">
      <c r="E294" s="865"/>
      <c r="N294" s="1147"/>
    </row>
    <row r="295" spans="5:14">
      <c r="E295" s="865"/>
      <c r="N295" s="1147"/>
    </row>
    <row r="296" spans="5:14">
      <c r="E296" s="865"/>
      <c r="N296" s="1147"/>
    </row>
    <row r="297" spans="5:14">
      <c r="E297" s="865"/>
      <c r="N297" s="1147"/>
    </row>
    <row r="298" spans="5:14">
      <c r="E298" s="865"/>
      <c r="N298" s="1147"/>
    </row>
    <row r="299" spans="5:14">
      <c r="E299" s="865"/>
      <c r="N299" s="1147"/>
    </row>
    <row r="300" spans="5:14">
      <c r="E300" s="865"/>
      <c r="N300" s="1147"/>
    </row>
    <row r="301" spans="5:14">
      <c r="E301" s="865"/>
      <c r="N301" s="1147"/>
    </row>
    <row r="302" spans="5:14">
      <c r="E302" s="865"/>
      <c r="N302" s="1147"/>
    </row>
    <row r="303" spans="5:14">
      <c r="E303" s="865"/>
      <c r="N303" s="1147"/>
    </row>
    <row r="304" spans="5:14">
      <c r="E304" s="865"/>
      <c r="N304" s="1147"/>
    </row>
    <row r="305" spans="5:14">
      <c r="E305" s="865"/>
      <c r="N305" s="1147"/>
    </row>
    <row r="306" spans="5:14">
      <c r="E306" s="865"/>
      <c r="N306" s="1147"/>
    </row>
    <row r="307" spans="5:14">
      <c r="E307" s="865"/>
      <c r="N307" s="1147"/>
    </row>
    <row r="308" spans="5:14">
      <c r="E308" s="865"/>
      <c r="N308" s="1147"/>
    </row>
    <row r="309" spans="5:14">
      <c r="E309" s="865"/>
      <c r="N309" s="1147"/>
    </row>
    <row r="310" spans="5:14">
      <c r="E310" s="865"/>
      <c r="N310" s="1147"/>
    </row>
    <row r="311" spans="5:14">
      <c r="E311" s="865"/>
      <c r="N311" s="1147"/>
    </row>
    <row r="312" spans="5:14">
      <c r="E312" s="865"/>
      <c r="N312" s="1147"/>
    </row>
    <row r="313" spans="5:14">
      <c r="E313" s="865"/>
      <c r="N313" s="1147"/>
    </row>
    <row r="314" spans="5:14">
      <c r="E314" s="865"/>
      <c r="N314" s="1147"/>
    </row>
    <row r="315" spans="5:14">
      <c r="E315" s="865"/>
      <c r="N315" s="1147"/>
    </row>
    <row r="316" spans="5:14">
      <c r="E316" s="865"/>
      <c r="N316" s="1147"/>
    </row>
    <row r="317" spans="5:14">
      <c r="E317" s="865"/>
      <c r="N317" s="1147"/>
    </row>
    <row r="318" spans="5:14">
      <c r="E318" s="865"/>
      <c r="N318" s="1147"/>
    </row>
    <row r="319" spans="5:14">
      <c r="E319" s="865"/>
      <c r="N319" s="1147"/>
    </row>
    <row r="320" spans="5:14">
      <c r="E320" s="865"/>
      <c r="N320" s="1147"/>
    </row>
    <row r="321" spans="5:14">
      <c r="E321" s="865"/>
      <c r="N321" s="1147"/>
    </row>
    <row r="322" spans="5:14">
      <c r="E322" s="865"/>
      <c r="N322" s="1147"/>
    </row>
    <row r="323" spans="5:14">
      <c r="E323" s="865"/>
      <c r="N323" s="1147"/>
    </row>
    <row r="324" spans="5:14">
      <c r="E324" s="865"/>
      <c r="N324" s="1147"/>
    </row>
    <row r="325" spans="5:14">
      <c r="E325" s="865"/>
      <c r="N325" s="1147"/>
    </row>
    <row r="326" spans="5:14">
      <c r="E326" s="865"/>
      <c r="N326" s="1147"/>
    </row>
    <row r="327" spans="5:14">
      <c r="E327" s="865"/>
      <c r="N327" s="1147"/>
    </row>
    <row r="328" spans="5:14">
      <c r="E328" s="865"/>
      <c r="N328" s="1147"/>
    </row>
    <row r="329" spans="5:14">
      <c r="E329" s="865"/>
      <c r="N329" s="1147"/>
    </row>
    <row r="330" spans="5:14">
      <c r="E330" s="865"/>
      <c r="N330" s="1147"/>
    </row>
    <row r="331" spans="5:14">
      <c r="E331" s="865"/>
      <c r="N331" s="1147"/>
    </row>
    <row r="332" spans="5:14">
      <c r="E332" s="865"/>
      <c r="N332" s="1147"/>
    </row>
    <row r="333" spans="5:14">
      <c r="E333" s="865"/>
      <c r="N333" s="1147"/>
    </row>
    <row r="334" spans="5:14">
      <c r="E334" s="865"/>
      <c r="N334" s="1147"/>
    </row>
    <row r="335" spans="5:14">
      <c r="E335" s="865"/>
      <c r="N335" s="1147"/>
    </row>
    <row r="336" spans="5:14">
      <c r="E336" s="865"/>
      <c r="N336" s="1147"/>
    </row>
    <row r="337" spans="5:14">
      <c r="E337" s="865"/>
      <c r="N337" s="1147"/>
    </row>
    <row r="338" spans="5:14">
      <c r="E338" s="865"/>
      <c r="N338" s="1147"/>
    </row>
    <row r="339" spans="5:14">
      <c r="E339" s="865"/>
      <c r="N339" s="1147"/>
    </row>
    <row r="340" spans="5:14">
      <c r="E340" s="865"/>
      <c r="N340" s="1147"/>
    </row>
    <row r="341" spans="5:14">
      <c r="E341" s="865"/>
      <c r="N341" s="1147"/>
    </row>
    <row r="342" spans="5:14">
      <c r="E342" s="865"/>
      <c r="N342" s="1147"/>
    </row>
    <row r="343" spans="5:14">
      <c r="E343" s="865"/>
      <c r="N343" s="1147"/>
    </row>
    <row r="344" spans="5:14">
      <c r="E344" s="865"/>
      <c r="N344" s="1147"/>
    </row>
    <row r="345" spans="5:14">
      <c r="E345" s="865"/>
      <c r="N345" s="1147"/>
    </row>
    <row r="346" spans="5:14">
      <c r="E346" s="865"/>
      <c r="N346" s="1147"/>
    </row>
    <row r="347" spans="5:14">
      <c r="E347" s="865"/>
      <c r="N347" s="1147"/>
    </row>
    <row r="348" spans="5:14">
      <c r="E348" s="865"/>
      <c r="N348" s="1147"/>
    </row>
    <row r="349" spans="5:14">
      <c r="E349" s="865"/>
      <c r="N349" s="1147"/>
    </row>
    <row r="350" spans="5:14">
      <c r="E350" s="865"/>
      <c r="N350" s="1147"/>
    </row>
    <row r="351" spans="5:14">
      <c r="E351" s="865"/>
      <c r="N351" s="1147"/>
    </row>
    <row r="352" spans="5:14">
      <c r="E352" s="865"/>
      <c r="N352" s="1147"/>
    </row>
    <row r="353" spans="5:14">
      <c r="E353" s="865"/>
      <c r="N353" s="1147"/>
    </row>
    <row r="354" spans="5:14">
      <c r="E354" s="865"/>
      <c r="N354" s="1147"/>
    </row>
    <row r="355" spans="5:14">
      <c r="E355" s="865"/>
      <c r="N355" s="1147"/>
    </row>
    <row r="356" spans="5:14">
      <c r="E356" s="865"/>
      <c r="N356" s="1147"/>
    </row>
    <row r="357" spans="5:14">
      <c r="E357" s="865"/>
      <c r="N357" s="1147"/>
    </row>
    <row r="358" spans="5:14">
      <c r="E358" s="865"/>
      <c r="N358" s="1147"/>
    </row>
    <row r="359" spans="5:14">
      <c r="E359" s="865"/>
      <c r="N359" s="1147"/>
    </row>
    <row r="360" spans="5:14">
      <c r="E360" s="865"/>
      <c r="N360" s="1147"/>
    </row>
    <row r="361" spans="5:14">
      <c r="E361" s="865"/>
      <c r="N361" s="1147"/>
    </row>
    <row r="362" spans="5:14">
      <c r="E362" s="865"/>
      <c r="N362" s="1147"/>
    </row>
    <row r="363" spans="5:14">
      <c r="E363" s="865"/>
      <c r="N363" s="1147"/>
    </row>
    <row r="364" spans="5:14">
      <c r="E364" s="865"/>
      <c r="N364" s="1147"/>
    </row>
    <row r="365" spans="5:14">
      <c r="E365" s="865"/>
      <c r="N365" s="1147"/>
    </row>
    <row r="366" spans="5:14">
      <c r="E366" s="865"/>
      <c r="N366" s="1147"/>
    </row>
    <row r="367" spans="5:14">
      <c r="E367" s="865"/>
      <c r="N367" s="1147"/>
    </row>
    <row r="368" spans="5:14">
      <c r="E368" s="865"/>
      <c r="N368" s="1147"/>
    </row>
    <row r="369" spans="5:14">
      <c r="E369" s="865"/>
      <c r="N369" s="1147"/>
    </row>
    <row r="370" spans="5:14">
      <c r="E370" s="865"/>
      <c r="N370" s="1147"/>
    </row>
    <row r="371" spans="5:14">
      <c r="E371" s="865"/>
      <c r="N371" s="1147"/>
    </row>
    <row r="372" spans="5:14">
      <c r="E372" s="865"/>
      <c r="N372" s="1147"/>
    </row>
    <row r="373" spans="5:14">
      <c r="E373" s="865"/>
      <c r="N373" s="1147"/>
    </row>
    <row r="374" spans="5:14">
      <c r="E374" s="865"/>
      <c r="N374" s="1147"/>
    </row>
    <row r="375" spans="5:14">
      <c r="E375" s="865"/>
      <c r="N375" s="1147"/>
    </row>
    <row r="376" spans="5:14">
      <c r="E376" s="865"/>
      <c r="N376" s="1147"/>
    </row>
    <row r="377" spans="5:14">
      <c r="E377" s="865"/>
      <c r="N377" s="1147"/>
    </row>
    <row r="378" spans="5:14">
      <c r="E378" s="865"/>
      <c r="N378" s="1147"/>
    </row>
    <row r="379" spans="5:14">
      <c r="E379" s="865"/>
      <c r="N379" s="1147"/>
    </row>
    <row r="380" spans="5:14">
      <c r="E380" s="865"/>
      <c r="N380" s="1147"/>
    </row>
    <row r="381" spans="5:14">
      <c r="E381" s="865"/>
      <c r="N381" s="1147"/>
    </row>
    <row r="382" spans="5:14">
      <c r="E382" s="865"/>
      <c r="N382" s="1147"/>
    </row>
    <row r="383" spans="5:14">
      <c r="E383" s="865"/>
      <c r="N383" s="1147"/>
    </row>
    <row r="384" spans="5:14">
      <c r="E384" s="865"/>
      <c r="N384" s="1147"/>
    </row>
    <row r="385" spans="5:14">
      <c r="E385" s="865"/>
      <c r="N385" s="1147"/>
    </row>
    <row r="386" spans="5:14">
      <c r="E386" s="865"/>
      <c r="N386" s="1147"/>
    </row>
    <row r="387" spans="5:14">
      <c r="E387" s="865"/>
      <c r="N387" s="1147"/>
    </row>
    <row r="388" spans="5:14">
      <c r="E388" s="865"/>
      <c r="N388" s="1147"/>
    </row>
    <row r="389" spans="5:14">
      <c r="E389" s="865"/>
      <c r="N389" s="1147"/>
    </row>
    <row r="390" spans="5:14">
      <c r="E390" s="865"/>
      <c r="N390" s="1147"/>
    </row>
    <row r="391" spans="5:14">
      <c r="E391" s="865"/>
      <c r="N391" s="1147"/>
    </row>
    <row r="392" spans="5:14">
      <c r="E392" s="865"/>
      <c r="N392" s="1147"/>
    </row>
    <row r="393" spans="5:14">
      <c r="E393" s="865"/>
      <c r="N393" s="1147"/>
    </row>
    <row r="394" spans="5:14">
      <c r="E394" s="865"/>
      <c r="N394" s="1147"/>
    </row>
    <row r="395" spans="5:14">
      <c r="E395" s="865"/>
      <c r="N395" s="1147"/>
    </row>
    <row r="396" spans="5:14">
      <c r="E396" s="865"/>
      <c r="N396" s="1147"/>
    </row>
    <row r="397" spans="5:14">
      <c r="E397" s="865"/>
      <c r="N397" s="1147"/>
    </row>
    <row r="398" spans="5:14">
      <c r="E398" s="865"/>
      <c r="N398" s="1147"/>
    </row>
    <row r="399" spans="5:14">
      <c r="E399" s="865"/>
      <c r="N399" s="1147"/>
    </row>
    <row r="400" spans="5:14">
      <c r="E400" s="865"/>
      <c r="N400" s="1147"/>
    </row>
    <row r="401" spans="5:14">
      <c r="E401" s="865"/>
      <c r="N401" s="1147"/>
    </row>
    <row r="402" spans="5:14">
      <c r="E402" s="865"/>
      <c r="N402" s="1147"/>
    </row>
    <row r="403" spans="5:14">
      <c r="E403" s="865"/>
      <c r="N403" s="1147"/>
    </row>
    <row r="404" spans="5:14">
      <c r="E404" s="865"/>
      <c r="N404" s="1147"/>
    </row>
    <row r="405" spans="5:14">
      <c r="E405" s="865"/>
      <c r="N405" s="1147"/>
    </row>
    <row r="406" spans="5:14">
      <c r="E406" s="865"/>
      <c r="N406" s="1147"/>
    </row>
    <row r="407" spans="5:14">
      <c r="E407" s="865"/>
      <c r="N407" s="1147"/>
    </row>
    <row r="408" spans="5:14">
      <c r="E408" s="865"/>
      <c r="N408" s="1147"/>
    </row>
    <row r="409" spans="5:14">
      <c r="E409" s="865"/>
      <c r="N409" s="1147"/>
    </row>
    <row r="410" spans="5:14">
      <c r="E410" s="865"/>
      <c r="N410" s="1147"/>
    </row>
    <row r="411" spans="5:14">
      <c r="E411" s="865"/>
      <c r="N411" s="1147"/>
    </row>
    <row r="412" spans="5:14">
      <c r="E412" s="865"/>
      <c r="N412" s="1147"/>
    </row>
    <row r="413" spans="5:14">
      <c r="E413" s="865"/>
      <c r="N413" s="1147"/>
    </row>
    <row r="414" spans="5:14">
      <c r="E414" s="865"/>
      <c r="N414" s="1147"/>
    </row>
    <row r="415" spans="5:14">
      <c r="E415" s="865"/>
      <c r="N415" s="1147"/>
    </row>
    <row r="416" spans="5:14">
      <c r="E416" s="865"/>
      <c r="N416" s="1147"/>
    </row>
    <row r="417" spans="5:14">
      <c r="E417" s="865"/>
      <c r="N417" s="1147"/>
    </row>
    <row r="418" spans="5:14">
      <c r="E418" s="865"/>
      <c r="N418" s="1147"/>
    </row>
    <row r="419" spans="5:14">
      <c r="E419" s="865"/>
      <c r="N419" s="1147"/>
    </row>
    <row r="420" spans="5:14">
      <c r="E420" s="865"/>
      <c r="N420" s="1147"/>
    </row>
    <row r="421" spans="5:14">
      <c r="E421" s="865"/>
      <c r="N421" s="1147"/>
    </row>
    <row r="422" spans="5:14">
      <c r="E422" s="865"/>
      <c r="N422" s="1147"/>
    </row>
    <row r="423" spans="5:14">
      <c r="E423" s="865"/>
      <c r="N423" s="1147"/>
    </row>
    <row r="424" spans="5:14">
      <c r="E424" s="865"/>
      <c r="N424" s="1147"/>
    </row>
    <row r="425" spans="5:14">
      <c r="E425" s="865"/>
      <c r="N425" s="1147"/>
    </row>
    <row r="426" spans="5:14">
      <c r="E426" s="865"/>
      <c r="N426" s="1147"/>
    </row>
    <row r="427" spans="5:14">
      <c r="E427" s="865"/>
      <c r="N427" s="1147"/>
    </row>
    <row r="428" spans="5:14">
      <c r="E428" s="865"/>
      <c r="N428" s="1147"/>
    </row>
    <row r="429" spans="5:14">
      <c r="E429" s="865"/>
      <c r="N429" s="1147"/>
    </row>
    <row r="430" spans="5:14">
      <c r="E430" s="865"/>
      <c r="N430" s="1147"/>
    </row>
    <row r="431" spans="5:14">
      <c r="E431" s="865"/>
      <c r="N431" s="1147"/>
    </row>
    <row r="432" spans="5:14">
      <c r="E432" s="865"/>
      <c r="N432" s="1147"/>
    </row>
    <row r="433" spans="5:14">
      <c r="E433" s="865"/>
      <c r="N433" s="1147"/>
    </row>
    <row r="434" spans="5:14">
      <c r="E434" s="865"/>
      <c r="N434" s="1147"/>
    </row>
    <row r="435" spans="5:14">
      <c r="E435" s="865"/>
      <c r="N435" s="1147"/>
    </row>
    <row r="436" spans="5:14">
      <c r="E436" s="865"/>
      <c r="N436" s="1147"/>
    </row>
    <row r="437" spans="5:14">
      <c r="E437" s="865"/>
      <c r="N437" s="1147"/>
    </row>
    <row r="438" spans="5:14">
      <c r="E438" s="865"/>
      <c r="N438" s="1147"/>
    </row>
    <row r="439" spans="5:14">
      <c r="E439" s="865"/>
      <c r="N439" s="1147"/>
    </row>
    <row r="440" spans="5:14">
      <c r="E440" s="865"/>
      <c r="N440" s="1147"/>
    </row>
    <row r="441" spans="5:14">
      <c r="E441" s="865"/>
      <c r="N441" s="1147"/>
    </row>
    <row r="442" spans="5:14">
      <c r="E442" s="865"/>
      <c r="N442" s="1147"/>
    </row>
    <row r="443" spans="5:14">
      <c r="E443" s="865"/>
      <c r="N443" s="1147"/>
    </row>
    <row r="444" spans="5:14">
      <c r="E444" s="865"/>
      <c r="N444" s="1147"/>
    </row>
    <row r="445" spans="5:14">
      <c r="E445" s="865"/>
      <c r="N445" s="1147"/>
    </row>
    <row r="446" spans="5:14">
      <c r="E446" s="865"/>
      <c r="N446" s="1147"/>
    </row>
    <row r="447" spans="5:14">
      <c r="E447" s="865"/>
      <c r="N447" s="1147"/>
    </row>
    <row r="448" spans="5:14">
      <c r="E448" s="865"/>
      <c r="N448" s="1147"/>
    </row>
    <row r="449" spans="5:14">
      <c r="E449" s="865"/>
      <c r="N449" s="1147"/>
    </row>
    <row r="450" spans="5:14">
      <c r="E450" s="865"/>
      <c r="N450" s="1147"/>
    </row>
    <row r="451" spans="5:14">
      <c r="E451" s="865"/>
      <c r="N451" s="1147"/>
    </row>
    <row r="452" spans="5:14">
      <c r="E452" s="865"/>
      <c r="N452" s="1147"/>
    </row>
    <row r="453" spans="5:14">
      <c r="E453" s="865"/>
      <c r="N453" s="1147"/>
    </row>
    <row r="454" spans="5:14">
      <c r="E454" s="865"/>
      <c r="N454" s="1147"/>
    </row>
    <row r="455" spans="5:14">
      <c r="E455" s="865"/>
      <c r="N455" s="1147"/>
    </row>
    <row r="456" spans="5:14">
      <c r="E456" s="865"/>
      <c r="N456" s="1147"/>
    </row>
    <row r="457" spans="5:14">
      <c r="E457" s="865"/>
      <c r="N457" s="1147"/>
    </row>
    <row r="458" spans="5:14">
      <c r="E458" s="865"/>
      <c r="N458" s="1147"/>
    </row>
    <row r="459" spans="5:14">
      <c r="E459" s="865"/>
      <c r="N459" s="1147"/>
    </row>
    <row r="460" spans="5:14">
      <c r="E460" s="865"/>
      <c r="N460" s="1147"/>
    </row>
    <row r="461" spans="5:14">
      <c r="E461" s="865"/>
      <c r="N461" s="1147"/>
    </row>
    <row r="462" spans="5:14">
      <c r="E462" s="865"/>
      <c r="N462" s="1147"/>
    </row>
    <row r="463" spans="5:14">
      <c r="E463" s="865"/>
      <c r="N463" s="1147"/>
    </row>
    <row r="464" spans="5:14">
      <c r="E464" s="865"/>
      <c r="N464" s="1147"/>
    </row>
    <row r="465" spans="5:14">
      <c r="E465" s="865"/>
      <c r="N465" s="1147"/>
    </row>
    <row r="466" spans="5:14">
      <c r="E466" s="865"/>
      <c r="N466" s="1147"/>
    </row>
    <row r="467" spans="5:14">
      <c r="E467" s="865"/>
      <c r="N467" s="1147"/>
    </row>
    <row r="468" spans="5:14">
      <c r="E468" s="865"/>
      <c r="N468" s="1147"/>
    </row>
    <row r="469" spans="5:14">
      <c r="E469" s="865"/>
      <c r="N469" s="1147"/>
    </row>
    <row r="470" spans="5:14">
      <c r="E470" s="865"/>
      <c r="N470" s="1147"/>
    </row>
    <row r="471" spans="5:14">
      <c r="E471" s="865"/>
      <c r="N471" s="1147"/>
    </row>
    <row r="472" spans="5:14">
      <c r="E472" s="865"/>
      <c r="N472" s="1147"/>
    </row>
    <row r="473" spans="5:14">
      <c r="E473" s="865"/>
      <c r="N473" s="1147"/>
    </row>
    <row r="474" spans="5:14">
      <c r="E474" s="865"/>
      <c r="N474" s="1147"/>
    </row>
    <row r="475" spans="5:14">
      <c r="E475" s="865"/>
      <c r="N475" s="1147"/>
    </row>
    <row r="476" spans="5:14">
      <c r="E476" s="865"/>
      <c r="N476" s="1147"/>
    </row>
    <row r="477" spans="5:14">
      <c r="E477" s="865"/>
      <c r="N477" s="1147"/>
    </row>
    <row r="478" spans="5:14">
      <c r="E478" s="865"/>
      <c r="N478" s="1147"/>
    </row>
    <row r="479" spans="5:14">
      <c r="E479" s="865"/>
      <c r="N479" s="1147"/>
    </row>
    <row r="480" spans="5:14">
      <c r="E480" s="865"/>
      <c r="N480" s="1147"/>
    </row>
    <row r="481" spans="5:14">
      <c r="E481" s="865"/>
      <c r="N481" s="1147"/>
    </row>
    <row r="482" spans="5:14">
      <c r="E482" s="865"/>
      <c r="N482" s="1147"/>
    </row>
    <row r="483" spans="5:14">
      <c r="E483" s="865"/>
      <c r="N483" s="1147"/>
    </row>
    <row r="484" spans="5:14">
      <c r="E484" s="865"/>
      <c r="N484" s="1147"/>
    </row>
    <row r="485" spans="5:14">
      <c r="E485" s="865"/>
      <c r="N485" s="1147"/>
    </row>
    <row r="486" spans="5:14">
      <c r="E486" s="865"/>
      <c r="N486" s="1147"/>
    </row>
    <row r="487" spans="5:14">
      <c r="E487" s="865"/>
      <c r="N487" s="1147"/>
    </row>
    <row r="488" spans="5:14">
      <c r="E488" s="865"/>
      <c r="N488" s="1147"/>
    </row>
    <row r="489" spans="5:14">
      <c r="E489" s="865"/>
      <c r="N489" s="1147"/>
    </row>
    <row r="490" spans="5:14">
      <c r="E490" s="865"/>
      <c r="N490" s="1147"/>
    </row>
    <row r="491" spans="5:14">
      <c r="E491" s="865"/>
      <c r="N491" s="1147"/>
    </row>
    <row r="492" spans="5:14">
      <c r="E492" s="865"/>
      <c r="N492" s="1147"/>
    </row>
    <row r="493" spans="5:14">
      <c r="E493" s="865"/>
      <c r="N493" s="1147"/>
    </row>
    <row r="494" spans="5:14">
      <c r="E494" s="865"/>
      <c r="N494" s="1147"/>
    </row>
    <row r="495" spans="5:14">
      <c r="E495" s="865"/>
      <c r="N495" s="1147"/>
    </row>
    <row r="496" spans="5:14">
      <c r="E496" s="865"/>
      <c r="N496" s="1147"/>
    </row>
    <row r="497" spans="5:14">
      <c r="E497" s="865"/>
      <c r="N497" s="1147"/>
    </row>
    <row r="498" spans="5:14">
      <c r="E498" s="865"/>
      <c r="N498" s="1147"/>
    </row>
    <row r="499" spans="5:14">
      <c r="E499" s="865"/>
      <c r="N499" s="1147"/>
    </row>
    <row r="500" spans="5:14">
      <c r="E500" s="865"/>
      <c r="N500" s="1147"/>
    </row>
    <row r="501" spans="5:14">
      <c r="E501" s="865"/>
      <c r="N501" s="1147"/>
    </row>
    <row r="502" spans="5:14">
      <c r="E502" s="865"/>
      <c r="N502" s="1147"/>
    </row>
    <row r="503" spans="5:14">
      <c r="E503" s="865"/>
      <c r="N503" s="1147"/>
    </row>
    <row r="504" spans="5:14">
      <c r="E504" s="865"/>
      <c r="N504" s="1147"/>
    </row>
    <row r="505" spans="5:14">
      <c r="E505" s="865"/>
      <c r="N505" s="1147"/>
    </row>
    <row r="506" spans="5:14">
      <c r="E506" s="865"/>
      <c r="N506" s="1147"/>
    </row>
    <row r="507" spans="5:14">
      <c r="E507" s="865"/>
      <c r="N507" s="1147"/>
    </row>
    <row r="508" spans="5:14">
      <c r="E508" s="865"/>
      <c r="N508" s="1147"/>
    </row>
    <row r="509" spans="5:14">
      <c r="E509" s="865"/>
      <c r="N509" s="1147"/>
    </row>
    <row r="510" spans="5:14">
      <c r="E510" s="865"/>
      <c r="N510" s="1147"/>
    </row>
    <row r="511" spans="5:14">
      <c r="E511" s="865"/>
      <c r="N511" s="1147"/>
    </row>
    <row r="512" spans="5:14">
      <c r="E512" s="865"/>
      <c r="N512" s="1147"/>
    </row>
    <row r="513" spans="5:14">
      <c r="E513" s="865"/>
      <c r="N513" s="1147"/>
    </row>
    <row r="514" spans="5:14">
      <c r="E514" s="865"/>
      <c r="N514" s="1147"/>
    </row>
    <row r="515" spans="5:14">
      <c r="E515" s="865"/>
      <c r="N515" s="1147"/>
    </row>
    <row r="516" spans="5:14">
      <c r="E516" s="865"/>
      <c r="N516" s="1147"/>
    </row>
    <row r="517" spans="5:14">
      <c r="E517" s="865"/>
      <c r="N517" s="1147"/>
    </row>
    <row r="518" spans="5:14">
      <c r="E518" s="865"/>
      <c r="N518" s="1147"/>
    </row>
    <row r="519" spans="5:14">
      <c r="E519" s="865"/>
      <c r="N519" s="1147"/>
    </row>
    <row r="520" spans="5:14">
      <c r="E520" s="865"/>
      <c r="N520" s="1147"/>
    </row>
    <row r="521" spans="5:14">
      <c r="E521" s="865"/>
      <c r="N521" s="1147"/>
    </row>
    <row r="522" spans="5:14">
      <c r="E522" s="865"/>
      <c r="N522" s="1147"/>
    </row>
    <row r="523" spans="5:14">
      <c r="E523" s="865"/>
      <c r="N523" s="1147"/>
    </row>
    <row r="524" spans="5:14">
      <c r="E524" s="865"/>
      <c r="N524" s="1147"/>
    </row>
    <row r="525" spans="5:14">
      <c r="E525" s="865"/>
      <c r="N525" s="1147"/>
    </row>
    <row r="526" spans="5:14">
      <c r="E526" s="865"/>
      <c r="N526" s="1147"/>
    </row>
    <row r="527" spans="5:14">
      <c r="E527" s="865"/>
      <c r="N527" s="1147"/>
    </row>
    <row r="528" spans="5:14">
      <c r="E528" s="865"/>
      <c r="N528" s="1147"/>
    </row>
    <row r="529" spans="5:14">
      <c r="E529" s="865"/>
      <c r="N529" s="1147"/>
    </row>
    <row r="530" spans="5:14">
      <c r="E530" s="865"/>
      <c r="N530" s="1147"/>
    </row>
    <row r="531" spans="5:14">
      <c r="E531" s="865"/>
      <c r="N531" s="1147"/>
    </row>
    <row r="532" spans="5:14">
      <c r="E532" s="865"/>
      <c r="N532" s="1147"/>
    </row>
    <row r="533" spans="5:14">
      <c r="E533" s="865"/>
      <c r="N533" s="1147"/>
    </row>
    <row r="534" spans="5:14">
      <c r="E534" s="865"/>
      <c r="N534" s="1147"/>
    </row>
    <row r="535" spans="5:14">
      <c r="E535" s="865"/>
      <c r="N535" s="1147"/>
    </row>
    <row r="536" spans="5:14">
      <c r="E536" s="865"/>
      <c r="N536" s="1147"/>
    </row>
    <row r="537" spans="5:14">
      <c r="E537" s="865"/>
      <c r="N537" s="1147"/>
    </row>
    <row r="538" spans="5:14">
      <c r="E538" s="865"/>
      <c r="N538" s="1147"/>
    </row>
    <row r="539" spans="5:14">
      <c r="E539" s="865"/>
      <c r="N539" s="1147"/>
    </row>
    <row r="540" spans="5:14">
      <c r="E540" s="865"/>
      <c r="N540" s="1147"/>
    </row>
    <row r="541" spans="5:14">
      <c r="E541" s="865"/>
      <c r="N541" s="1147"/>
    </row>
    <row r="542" spans="5:14">
      <c r="E542" s="865"/>
      <c r="N542" s="1147"/>
    </row>
    <row r="543" spans="5:14">
      <c r="E543" s="865"/>
      <c r="N543" s="1147"/>
    </row>
    <row r="544" spans="5:14">
      <c r="E544" s="865"/>
      <c r="N544" s="1147"/>
    </row>
    <row r="545" spans="5:14">
      <c r="E545" s="865"/>
      <c r="N545" s="1147"/>
    </row>
    <row r="546" spans="5:14">
      <c r="E546" s="865"/>
      <c r="N546" s="1147"/>
    </row>
    <row r="547" spans="5:14">
      <c r="E547" s="865"/>
      <c r="N547" s="1147"/>
    </row>
    <row r="548" spans="5:14">
      <c r="E548" s="865"/>
      <c r="N548" s="1147"/>
    </row>
    <row r="549" spans="5:14">
      <c r="E549" s="865"/>
      <c r="N549" s="1147"/>
    </row>
    <row r="550" spans="5:14">
      <c r="E550" s="865"/>
      <c r="N550" s="1147"/>
    </row>
    <row r="551" spans="5:14">
      <c r="E551" s="865"/>
      <c r="N551" s="1147"/>
    </row>
    <row r="552" spans="5:14">
      <c r="E552" s="865"/>
      <c r="N552" s="1147"/>
    </row>
    <row r="553" spans="5:14">
      <c r="E553" s="865"/>
      <c r="N553" s="1147"/>
    </row>
    <row r="554" spans="5:14">
      <c r="E554" s="865"/>
      <c r="N554" s="1147"/>
    </row>
    <row r="555" spans="5:14">
      <c r="E555" s="865"/>
      <c r="N555" s="1147"/>
    </row>
    <row r="556" spans="5:14">
      <c r="E556" s="865"/>
      <c r="N556" s="1147"/>
    </row>
    <row r="557" spans="5:14">
      <c r="E557" s="865"/>
      <c r="N557" s="1147"/>
    </row>
    <row r="558" spans="5:14">
      <c r="E558" s="865"/>
      <c r="N558" s="1147"/>
    </row>
    <row r="559" spans="5:14">
      <c r="E559" s="865"/>
      <c r="N559" s="1147"/>
    </row>
    <row r="560" spans="5:14">
      <c r="E560" s="865"/>
      <c r="N560" s="1147"/>
    </row>
    <row r="561" spans="5:14">
      <c r="E561" s="865"/>
      <c r="N561" s="1147"/>
    </row>
    <row r="562" spans="5:14">
      <c r="E562" s="865"/>
      <c r="N562" s="1147"/>
    </row>
    <row r="563" spans="5:14">
      <c r="E563" s="865"/>
      <c r="N563" s="1147"/>
    </row>
    <row r="564" spans="5:14">
      <c r="E564" s="865"/>
      <c r="N564" s="1147"/>
    </row>
    <row r="565" spans="5:14">
      <c r="E565" s="865"/>
      <c r="N565" s="1147"/>
    </row>
    <row r="566" spans="5:14">
      <c r="E566" s="865"/>
      <c r="N566" s="1147"/>
    </row>
    <row r="567" spans="5:14">
      <c r="E567" s="865"/>
      <c r="N567" s="1147"/>
    </row>
    <row r="568" spans="5:14">
      <c r="E568" s="865"/>
      <c r="N568" s="1147"/>
    </row>
    <row r="569" spans="5:14">
      <c r="E569" s="865"/>
      <c r="N569" s="1147"/>
    </row>
    <row r="570" spans="5:14">
      <c r="E570" s="865"/>
      <c r="N570" s="1147"/>
    </row>
    <row r="571" spans="5:14">
      <c r="E571" s="865"/>
      <c r="N571" s="1147"/>
    </row>
    <row r="572" spans="5:14">
      <c r="E572" s="865"/>
      <c r="N572" s="1147"/>
    </row>
    <row r="573" spans="5:14">
      <c r="E573" s="865"/>
      <c r="N573" s="1147"/>
    </row>
    <row r="574" spans="5:14">
      <c r="E574" s="865"/>
      <c r="N574" s="1147"/>
    </row>
    <row r="575" spans="5:14">
      <c r="E575" s="865"/>
      <c r="N575" s="1147"/>
    </row>
    <row r="576" spans="5:14">
      <c r="E576" s="865"/>
      <c r="N576" s="1147"/>
    </row>
    <row r="577" spans="5:14">
      <c r="E577" s="865"/>
      <c r="N577" s="1147"/>
    </row>
    <row r="578" spans="5:14">
      <c r="E578" s="865"/>
      <c r="N578" s="1147"/>
    </row>
    <row r="579" spans="5:14">
      <c r="E579" s="865"/>
      <c r="N579" s="1147"/>
    </row>
    <row r="580" spans="5:14">
      <c r="E580" s="865"/>
      <c r="N580" s="1147"/>
    </row>
    <row r="581" spans="5:14">
      <c r="E581" s="865"/>
      <c r="N581" s="1147"/>
    </row>
    <row r="582" spans="5:14">
      <c r="E582" s="865"/>
      <c r="N582" s="1147"/>
    </row>
    <row r="583" spans="5:14">
      <c r="E583" s="865"/>
      <c r="N583" s="1147"/>
    </row>
    <row r="584" spans="5:14">
      <c r="E584" s="865"/>
      <c r="N584" s="1147"/>
    </row>
    <row r="585" spans="5:14">
      <c r="E585" s="865"/>
      <c r="N585" s="1147"/>
    </row>
    <row r="586" spans="5:14">
      <c r="E586" s="865"/>
      <c r="N586" s="1147"/>
    </row>
    <row r="587" spans="5:14">
      <c r="E587" s="865"/>
      <c r="N587" s="1147"/>
    </row>
    <row r="588" spans="5:14">
      <c r="E588" s="865"/>
      <c r="N588" s="1147"/>
    </row>
    <row r="589" spans="5:14">
      <c r="E589" s="865"/>
      <c r="N589" s="1147"/>
    </row>
    <row r="590" spans="5:14">
      <c r="E590" s="865"/>
      <c r="N590" s="1147"/>
    </row>
    <row r="591" spans="5:14">
      <c r="E591" s="865"/>
      <c r="N591" s="1147"/>
    </row>
    <row r="592" spans="5:14">
      <c r="E592" s="865"/>
      <c r="N592" s="1147"/>
    </row>
    <row r="593" spans="5:14">
      <c r="E593" s="865"/>
      <c r="N593" s="1147"/>
    </row>
    <row r="594" spans="5:14">
      <c r="E594" s="865"/>
      <c r="N594" s="1147"/>
    </row>
    <row r="595" spans="5:14">
      <c r="E595" s="865"/>
      <c r="N595" s="1147"/>
    </row>
    <row r="596" spans="5:14">
      <c r="E596" s="865"/>
      <c r="N596" s="1147"/>
    </row>
    <row r="597" spans="5:14">
      <c r="E597" s="865"/>
      <c r="N597" s="1147"/>
    </row>
    <row r="598" spans="5:14">
      <c r="E598" s="865"/>
      <c r="N598" s="1147"/>
    </row>
    <row r="599" spans="5:14">
      <c r="E599" s="865"/>
      <c r="N599" s="1147"/>
    </row>
    <row r="600" spans="5:14">
      <c r="E600" s="865"/>
      <c r="N600" s="1147"/>
    </row>
    <row r="601" spans="5:14">
      <c r="E601" s="865"/>
      <c r="N601" s="1147"/>
    </row>
    <row r="602" spans="5:14">
      <c r="E602" s="865"/>
      <c r="N602" s="1147"/>
    </row>
    <row r="603" spans="5:14">
      <c r="E603" s="865"/>
      <c r="N603" s="1147"/>
    </row>
    <row r="604" spans="5:14">
      <c r="E604" s="865"/>
      <c r="N604" s="1147"/>
    </row>
    <row r="605" spans="5:14">
      <c r="E605" s="865"/>
      <c r="N605" s="1147"/>
    </row>
    <row r="606" spans="5:14">
      <c r="E606" s="865"/>
      <c r="N606" s="1147"/>
    </row>
    <row r="607" spans="5:14">
      <c r="E607" s="865"/>
      <c r="N607" s="1147"/>
    </row>
    <row r="608" spans="5:14">
      <c r="E608" s="865"/>
      <c r="N608" s="1147"/>
    </row>
    <row r="609" spans="5:14">
      <c r="E609" s="865"/>
      <c r="N609" s="1147"/>
    </row>
    <row r="610" spans="5:14">
      <c r="E610" s="865"/>
      <c r="N610" s="1147"/>
    </row>
    <row r="611" spans="5:14">
      <c r="E611" s="865"/>
      <c r="N611" s="1147"/>
    </row>
    <row r="612" spans="5:14">
      <c r="E612" s="865"/>
      <c r="N612" s="1147"/>
    </row>
    <row r="613" spans="5:14">
      <c r="E613" s="865"/>
      <c r="N613" s="1147"/>
    </row>
    <row r="614" spans="5:14">
      <c r="E614" s="865"/>
      <c r="N614" s="1147"/>
    </row>
    <row r="615" spans="5:14">
      <c r="E615" s="865"/>
      <c r="N615" s="1147"/>
    </row>
    <row r="616" spans="5:14">
      <c r="E616" s="865"/>
      <c r="N616" s="1147"/>
    </row>
    <row r="617" spans="5:14">
      <c r="E617" s="865"/>
      <c r="N617" s="1147"/>
    </row>
    <row r="618" spans="5:14">
      <c r="E618" s="865"/>
      <c r="N618" s="1147"/>
    </row>
    <row r="619" spans="5:14">
      <c r="E619" s="865"/>
      <c r="N619" s="1147"/>
    </row>
    <row r="620" spans="5:14">
      <c r="E620" s="865"/>
      <c r="N620" s="1147"/>
    </row>
    <row r="621" spans="5:14">
      <c r="E621" s="865"/>
      <c r="N621" s="1147"/>
    </row>
    <row r="622" spans="5:14">
      <c r="E622" s="865"/>
      <c r="N622" s="1147"/>
    </row>
    <row r="623" spans="5:14">
      <c r="E623" s="865"/>
      <c r="N623" s="1147"/>
    </row>
    <row r="624" spans="5:14">
      <c r="E624" s="865"/>
      <c r="N624" s="1147"/>
    </row>
    <row r="625" spans="5:14">
      <c r="E625" s="865"/>
      <c r="N625" s="1147"/>
    </row>
    <row r="626" spans="5:14">
      <c r="E626" s="865"/>
      <c r="N626" s="1147"/>
    </row>
    <row r="627" spans="5:14">
      <c r="E627" s="865"/>
      <c r="N627" s="1147"/>
    </row>
    <row r="628" spans="5:14">
      <c r="E628" s="865"/>
      <c r="N628" s="1147"/>
    </row>
    <row r="629" spans="5:14">
      <c r="E629" s="865"/>
      <c r="N629" s="1147"/>
    </row>
    <row r="630" spans="5:14">
      <c r="E630" s="865"/>
      <c r="N630" s="1147"/>
    </row>
    <row r="631" spans="5:14">
      <c r="E631" s="865"/>
      <c r="N631" s="1147"/>
    </row>
    <row r="632" spans="5:14">
      <c r="E632" s="865"/>
      <c r="N632" s="1147"/>
    </row>
    <row r="633" spans="5:14">
      <c r="E633" s="865"/>
      <c r="N633" s="1147"/>
    </row>
    <row r="634" spans="5:14">
      <c r="E634" s="865"/>
      <c r="N634" s="1147"/>
    </row>
    <row r="635" spans="5:14">
      <c r="E635" s="865"/>
      <c r="N635" s="1147"/>
    </row>
    <row r="636" spans="5:14">
      <c r="E636" s="865"/>
      <c r="N636" s="1147"/>
    </row>
    <row r="637" spans="5:14">
      <c r="E637" s="865"/>
      <c r="N637" s="1147"/>
    </row>
    <row r="638" spans="5:14">
      <c r="E638" s="865"/>
      <c r="N638" s="1147"/>
    </row>
    <row r="639" spans="5:14">
      <c r="E639" s="865"/>
      <c r="N639" s="1147"/>
    </row>
    <row r="640" spans="5:14">
      <c r="E640" s="865"/>
      <c r="N640" s="1147"/>
    </row>
    <row r="641" spans="5:14">
      <c r="E641" s="865"/>
      <c r="N641" s="1147"/>
    </row>
    <row r="642" spans="5:14">
      <c r="E642" s="865"/>
      <c r="N642" s="1147"/>
    </row>
    <row r="643" spans="5:14">
      <c r="E643" s="865"/>
      <c r="N643" s="1147"/>
    </row>
    <row r="644" spans="5:14">
      <c r="E644" s="865"/>
      <c r="N644" s="1147"/>
    </row>
    <row r="645" spans="5:14">
      <c r="E645" s="865"/>
      <c r="N645" s="1147"/>
    </row>
    <row r="646" spans="5:14">
      <c r="E646" s="865"/>
      <c r="N646" s="1147"/>
    </row>
    <row r="647" spans="5:14">
      <c r="E647" s="865"/>
      <c r="N647" s="1147"/>
    </row>
    <row r="648" spans="5:14">
      <c r="E648" s="865"/>
      <c r="N648" s="1147"/>
    </row>
    <row r="649" spans="5:14">
      <c r="E649" s="865"/>
      <c r="N649" s="1147"/>
    </row>
    <row r="650" spans="5:14">
      <c r="E650" s="865"/>
      <c r="N650" s="1147"/>
    </row>
    <row r="651" spans="5:14">
      <c r="E651" s="865"/>
      <c r="N651" s="1147"/>
    </row>
    <row r="652" spans="5:14">
      <c r="E652" s="865"/>
      <c r="N652" s="1147"/>
    </row>
    <row r="653" spans="5:14">
      <c r="E653" s="865"/>
      <c r="N653" s="1147"/>
    </row>
    <row r="654" spans="5:14">
      <c r="E654" s="865"/>
      <c r="N654" s="1147"/>
    </row>
    <row r="655" spans="5:14">
      <c r="E655" s="865"/>
      <c r="N655" s="1147"/>
    </row>
    <row r="656" spans="5:14">
      <c r="E656" s="865"/>
      <c r="N656" s="1147"/>
    </row>
    <row r="657" spans="5:14">
      <c r="E657" s="865"/>
      <c r="N657" s="1147"/>
    </row>
    <row r="658" spans="5:14">
      <c r="E658" s="865"/>
      <c r="N658" s="1147"/>
    </row>
    <row r="659" spans="5:14">
      <c r="E659" s="865"/>
      <c r="N659" s="1147"/>
    </row>
    <row r="660" spans="5:14">
      <c r="E660" s="865"/>
      <c r="N660" s="1147"/>
    </row>
    <row r="661" spans="5:14">
      <c r="E661" s="865"/>
      <c r="N661" s="1147"/>
    </row>
    <row r="662" spans="5:14">
      <c r="E662" s="865"/>
      <c r="N662" s="1147"/>
    </row>
    <row r="663" spans="5:14">
      <c r="E663" s="865"/>
      <c r="N663" s="1147"/>
    </row>
  </sheetData>
  <mergeCells count="155">
    <mergeCell ref="A239:A251"/>
    <mergeCell ref="N239:N248"/>
    <mergeCell ref="C241:C248"/>
    <mergeCell ref="M249:M251"/>
    <mergeCell ref="N249:N251"/>
    <mergeCell ref="C250:C251"/>
    <mergeCell ref="C160:C163"/>
    <mergeCell ref="A217:A229"/>
    <mergeCell ref="N217:N226"/>
    <mergeCell ref="C219:C226"/>
    <mergeCell ref="M227:M229"/>
    <mergeCell ref="N227:N229"/>
    <mergeCell ref="C228:C229"/>
    <mergeCell ref="A230:A238"/>
    <mergeCell ref="N230:N235"/>
    <mergeCell ref="C232:C235"/>
    <mergeCell ref="M236:M238"/>
    <mergeCell ref="N236:N238"/>
    <mergeCell ref="C237:C238"/>
    <mergeCell ref="A199:A207"/>
    <mergeCell ref="C201:C204"/>
    <mergeCell ref="M205:M207"/>
    <mergeCell ref="C206:C207"/>
    <mergeCell ref="A208:A216"/>
    <mergeCell ref="C210:C213"/>
    <mergeCell ref="M214:M216"/>
    <mergeCell ref="C215:C216"/>
    <mergeCell ref="N199:N204"/>
    <mergeCell ref="N205:N207"/>
    <mergeCell ref="N208:N213"/>
    <mergeCell ref="N214:N216"/>
    <mergeCell ref="A280:N281"/>
    <mergeCell ref="A89:A97"/>
    <mergeCell ref="N89:N97"/>
    <mergeCell ref="C96:C97"/>
    <mergeCell ref="M95:M97"/>
    <mergeCell ref="A272:A278"/>
    <mergeCell ref="N272:N278"/>
    <mergeCell ref="C274:C275"/>
    <mergeCell ref="C277:C278"/>
    <mergeCell ref="M276:M278"/>
    <mergeCell ref="A98:A106"/>
    <mergeCell ref="C105:C106"/>
    <mergeCell ref="C100:C103"/>
    <mergeCell ref="M104:M106"/>
    <mergeCell ref="A107:A115"/>
    <mergeCell ref="A264:A267"/>
    <mergeCell ref="C91:C94"/>
    <mergeCell ref="A143:A151"/>
    <mergeCell ref="C145:C148"/>
    <mergeCell ref="M149:M151"/>
    <mergeCell ref="C150:C151"/>
    <mergeCell ref="N98:N103"/>
    <mergeCell ref="N104:N106"/>
    <mergeCell ref="M17:M22"/>
    <mergeCell ref="M29:M31"/>
    <mergeCell ref="A3:N3"/>
    <mergeCell ref="B4:B5"/>
    <mergeCell ref="C4:C5"/>
    <mergeCell ref="D4:D5"/>
    <mergeCell ref="N4:N5"/>
    <mergeCell ref="M4:M5"/>
    <mergeCell ref="F4:L4"/>
    <mergeCell ref="A32:A40"/>
    <mergeCell ref="N32:N40"/>
    <mergeCell ref="C34:C37"/>
    <mergeCell ref="C39:C40"/>
    <mergeCell ref="M38:M40"/>
    <mergeCell ref="A23:A31"/>
    <mergeCell ref="N23:N31"/>
    <mergeCell ref="C25:C28"/>
    <mergeCell ref="C30:C31"/>
    <mergeCell ref="A50:A56"/>
    <mergeCell ref="N50:N56"/>
    <mergeCell ref="C52:C53"/>
    <mergeCell ref="C55:C56"/>
    <mergeCell ref="M54:M56"/>
    <mergeCell ref="A41:A49"/>
    <mergeCell ref="N41:N49"/>
    <mergeCell ref="C43:C46"/>
    <mergeCell ref="C48:C49"/>
    <mergeCell ref="M47:M49"/>
    <mergeCell ref="A66:A72"/>
    <mergeCell ref="N66:N72"/>
    <mergeCell ref="C68:C69"/>
    <mergeCell ref="C71:C72"/>
    <mergeCell ref="M70:M72"/>
    <mergeCell ref="A57:A65"/>
    <mergeCell ref="N57:N65"/>
    <mergeCell ref="C64:C65"/>
    <mergeCell ref="C59:C62"/>
    <mergeCell ref="M63:M65"/>
    <mergeCell ref="A134:A142"/>
    <mergeCell ref="C141:C142"/>
    <mergeCell ref="M140:M142"/>
    <mergeCell ref="A73:A79"/>
    <mergeCell ref="N73:N79"/>
    <mergeCell ref="C75:C76"/>
    <mergeCell ref="C78:C79"/>
    <mergeCell ref="M77:M79"/>
    <mergeCell ref="N135:N139"/>
    <mergeCell ref="A116:A124"/>
    <mergeCell ref="N116:N121"/>
    <mergeCell ref="C118:C121"/>
    <mergeCell ref="M122:M124"/>
    <mergeCell ref="N122:N124"/>
    <mergeCell ref="C123:C124"/>
    <mergeCell ref="A268:A271"/>
    <mergeCell ref="N268:N271"/>
    <mergeCell ref="C270:C271"/>
    <mergeCell ref="N264:N267"/>
    <mergeCell ref="C266:C267"/>
    <mergeCell ref="C257:C260"/>
    <mergeCell ref="N253:N263"/>
    <mergeCell ref="M261:M263"/>
    <mergeCell ref="A152:A163"/>
    <mergeCell ref="C154:C158"/>
    <mergeCell ref="M159:M163"/>
    <mergeCell ref="A164:A176"/>
    <mergeCell ref="M174:M176"/>
    <mergeCell ref="C175:C176"/>
    <mergeCell ref="A177:A185"/>
    <mergeCell ref="C179:C182"/>
    <mergeCell ref="M183:M185"/>
    <mergeCell ref="C184:C185"/>
    <mergeCell ref="N164:N176"/>
    <mergeCell ref="N177:N185"/>
    <mergeCell ref="A186:A198"/>
    <mergeCell ref="N186:N198"/>
    <mergeCell ref="C188:C193"/>
    <mergeCell ref="C166:C173"/>
    <mergeCell ref="M196:M198"/>
    <mergeCell ref="C197:C198"/>
    <mergeCell ref="A80:A88"/>
    <mergeCell ref="N80:N88"/>
    <mergeCell ref="C87:C88"/>
    <mergeCell ref="M86:M88"/>
    <mergeCell ref="C82:C85"/>
    <mergeCell ref="C109:C112"/>
    <mergeCell ref="N107:N112"/>
    <mergeCell ref="N113:N115"/>
    <mergeCell ref="C114:C115"/>
    <mergeCell ref="M113:M115"/>
    <mergeCell ref="N149:N151"/>
    <mergeCell ref="N143:N148"/>
    <mergeCell ref="N152:N158"/>
    <mergeCell ref="N159:N163"/>
    <mergeCell ref="A125:A133"/>
    <mergeCell ref="N125:N130"/>
    <mergeCell ref="C127:C130"/>
    <mergeCell ref="M131:M133"/>
    <mergeCell ref="N131:N133"/>
    <mergeCell ref="C132:C133"/>
    <mergeCell ref="C136:C139"/>
    <mergeCell ref="N140:N142"/>
  </mergeCells>
  <printOptions horizontalCentered="1"/>
  <pageMargins left="0.23622047244094491" right="0.23622047244094491" top="0.51181102362204722" bottom="0.35433070866141736" header="0.19685039370078741" footer="0.11811023622047245"/>
  <pageSetup paperSize="9" scale="69" firstPageNumber="34" orientation="landscape" useFirstPageNumber="1" r:id="rId1"/>
  <headerFooter alignWithMargins="0">
    <oddHeader>&amp;C&amp;"Arial,Kursywa"Wieloletnia prognoza finansowa Województwa Zachodniopomorskiego na lata 2017-2044&amp;"Arial,Normalny"
_______________________________________________________________________________________________________________________</oddHeader>
    <oddFooter>&amp;C&amp;9&amp;P</oddFooter>
  </headerFooter>
  <rowBreaks count="4" manualBreakCount="4">
    <brk id="124" max="24" man="1"/>
    <brk id="163" max="24" man="1"/>
    <brk id="207" max="24" man="1"/>
    <brk id="251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19</vt:i4>
      </vt:variant>
    </vt:vector>
  </HeadingPairs>
  <TitlesOfParts>
    <vt:vector size="31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projekty UE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2017-10-17T05:33:55Z</cp:lastPrinted>
  <dcterms:created xsi:type="dcterms:W3CDTF">2015-01-20T07:24:04Z</dcterms:created>
  <dcterms:modified xsi:type="dcterms:W3CDTF">2017-10-31T08:33:52Z</dcterms:modified>
</cp:coreProperties>
</file>